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720" windowHeight="6540" tabRatio="610" firstSheet="1" activeTab="5"/>
  </bookViews>
  <sheets>
    <sheet name=" 2003 FP OC" sheetId="1" r:id="rId1"/>
    <sheet name=" 2003 FP OM " sheetId="2" r:id="rId2"/>
    <sheet name=" 2003 FORZE ARMATE " sheetId="3" r:id="rId3"/>
    <sheet name=" 2004 FP OC" sheetId="4" r:id="rId4"/>
    <sheet name=" 2004 FP OM" sheetId="5" r:id="rId5"/>
    <sheet name=" 2004 FORZE ARMATE" sheetId="6" r:id="rId6"/>
  </sheets>
  <definedNames/>
  <calcPr fullCalcOnLoad="1"/>
</workbook>
</file>

<file path=xl/sharedStrings.xml><?xml version="1.0" encoding="utf-8"?>
<sst xmlns="http://schemas.openxmlformats.org/spreadsheetml/2006/main" count="602" uniqueCount="175">
  <si>
    <t>LIVELLO</t>
  </si>
  <si>
    <t>N. SCATTI GERACHICI</t>
  </si>
  <si>
    <t>N. SCATTI AGGIUNTIVI</t>
  </si>
  <si>
    <t>STIPENDIO</t>
  </si>
  <si>
    <t>SCATTI GERARCHICI</t>
  </si>
  <si>
    <t>SCATTI AGGIUNTIVI</t>
  </si>
  <si>
    <t>ISPETTORE CAPO</t>
  </si>
  <si>
    <t>VI</t>
  </si>
  <si>
    <t>VII BIS</t>
  </si>
  <si>
    <t>VI BIS</t>
  </si>
  <si>
    <t>VICE QUESTORE AGGIUNTO</t>
  </si>
  <si>
    <t>COMMISSARIO CAPO</t>
  </si>
  <si>
    <t>COMMISSARIO</t>
  </si>
  <si>
    <t>RUOLO ISPETTORI</t>
  </si>
  <si>
    <t>RUOLO SOVRINTENDENTI</t>
  </si>
  <si>
    <t>SOVRINTENDENTE</t>
  </si>
  <si>
    <t>IX</t>
  </si>
  <si>
    <t>VIII</t>
  </si>
  <si>
    <t>EMOLUMENTO PENSIONABILE DI RIORDINO</t>
  </si>
  <si>
    <t>EMOLUMENTI:                            - ISP. SUP.                             - SOVR. CAPO                             - ASS. CAPO</t>
  </si>
  <si>
    <t>RUOLO ASSISTENTI E AGENTI</t>
  </si>
  <si>
    <t>AGENTE SCELTO</t>
  </si>
  <si>
    <t>TOTALE STIPENDIO ATTUALE</t>
  </si>
  <si>
    <t>TREDICESIMA MENSILITA'</t>
  </si>
  <si>
    <t>ONERI</t>
  </si>
  <si>
    <t>ONERE UNITARIO COMPLESSIVO</t>
  </si>
  <si>
    <t>VII</t>
  </si>
  <si>
    <t>V</t>
  </si>
  <si>
    <t xml:space="preserve">VICE ISPETTORE                                                     </t>
  </si>
  <si>
    <t xml:space="preserve">ISPETTORE                                                                </t>
  </si>
  <si>
    <t xml:space="preserve">SOVRINTENDENTE CAPO                                         </t>
  </si>
  <si>
    <t xml:space="preserve">VICE SOVRINTENDENTE                                    </t>
  </si>
  <si>
    <r>
      <t xml:space="preserve">ASSISTENTE CAPO                                           </t>
    </r>
    <r>
      <rPr>
        <b/>
        <sz val="10"/>
        <rFont val="Arial"/>
        <family val="2"/>
      </rPr>
      <t xml:space="preserve">   </t>
    </r>
  </si>
  <si>
    <r>
      <t xml:space="preserve">ASSISTENTE                                           </t>
    </r>
    <r>
      <rPr>
        <b/>
        <sz val="10"/>
        <rFont val="Arial"/>
        <family val="2"/>
      </rPr>
      <t xml:space="preserve">   </t>
    </r>
  </si>
  <si>
    <t>CORPO FORESTALE</t>
  </si>
  <si>
    <t>POLIZIA PENITENZIARIA</t>
  </si>
  <si>
    <t xml:space="preserve"> FORZE ARMATE</t>
  </si>
  <si>
    <t>NUOVI PARAMETRI</t>
  </si>
  <si>
    <t>CARABINIERI</t>
  </si>
  <si>
    <t>POLIZIA DI STATO</t>
  </si>
  <si>
    <r>
      <t xml:space="preserve">VICE COMMISSARIO        </t>
    </r>
    <r>
      <rPr>
        <sz val="10"/>
        <rFont val="Arial"/>
        <family val="2"/>
      </rPr>
      <t xml:space="preserve">                                      </t>
    </r>
    <r>
      <rPr>
        <b/>
        <sz val="10"/>
        <rFont val="Arial"/>
        <family val="2"/>
      </rPr>
      <t xml:space="preserve">                     </t>
    </r>
  </si>
  <si>
    <t>STANZIAMENTO</t>
  </si>
  <si>
    <t xml:space="preserve">PER CENTO </t>
  </si>
  <si>
    <t>DEGLI INCREMENTI A REGIME</t>
  </si>
  <si>
    <t>ANNO 2003</t>
  </si>
  <si>
    <t>PARI AL 22,26</t>
  </si>
  <si>
    <t>INCREMENTI PER IL 2003:</t>
  </si>
  <si>
    <t>ANNO 2004</t>
  </si>
  <si>
    <t>PARI AL 45,14</t>
  </si>
  <si>
    <t>INCREMENTI PER IL 2004:</t>
  </si>
  <si>
    <t>ONERE COMPLESSIVO (COMPRENSIVO DEGLI ONERI A CARICO DELLO STATO)</t>
  </si>
  <si>
    <t xml:space="preserve">STIPENDI ANNUI LORDI CON NUOVI PARAMETRI </t>
  </si>
  <si>
    <t>DIFFERENZE STIPENDIALI ANNUE LORDE A REGIME</t>
  </si>
  <si>
    <t>INDENNITA' INTEGRATIVA SPECIALE</t>
  </si>
  <si>
    <t>GUARDIA FINANZA</t>
  </si>
  <si>
    <t xml:space="preserve">FORZA COMPLESSIVA 01.01.2003 </t>
  </si>
  <si>
    <t>FORZA COMPLESSIVA 01.01.2004</t>
  </si>
  <si>
    <t>PUNTO PARAM</t>
  </si>
  <si>
    <t xml:space="preserve">ISPETTORE SUPERIORE SOSTITUTO COMMISSARIO </t>
  </si>
  <si>
    <r>
      <t xml:space="preserve">POSIZIONI DI PROVENIENZA  (*)    </t>
    </r>
  </si>
  <si>
    <t>NUOVE POSIZIONI DERIVANTI DALL'INTRODUZIONE DEI PARAMETRI (*)</t>
  </si>
  <si>
    <t xml:space="preserve">COMMISSARIO </t>
  </si>
  <si>
    <t>VICE COMMISSARIO</t>
  </si>
  <si>
    <t>ISPETTORE CAPO CON MENO DI 10 ANNI nella qualifica</t>
  </si>
  <si>
    <t xml:space="preserve">ISPETTORE CON PIU' 3 ANNI E 6 MESI nella qualifica  </t>
  </si>
  <si>
    <t xml:space="preserve">ISPETTORE CON MENO 3 ANNI E 6 MESI nella qualifica  </t>
  </si>
  <si>
    <t xml:space="preserve">VICE ISPETTORE CON PIU' 1 ANN0 nella qualifica  </t>
  </si>
  <si>
    <t xml:space="preserve">VICE ISPETTORE CON MENO 1 ANN0 nella qualifica  </t>
  </si>
  <si>
    <t xml:space="preserve">SOVRINT. CAPO CON PIU' 30 ANNI DI SERV. E PIU' 4 ANNI nella qualifica  </t>
  </si>
  <si>
    <t>SOVRINTENDENTE CAPO    (con 8 a. nella qualifica)</t>
  </si>
  <si>
    <t xml:space="preserve">SOVRINT. CAPO CON PIU' 30 ANNI DI SERV. E MENO 4 ANNI nella qualifica  </t>
  </si>
  <si>
    <t xml:space="preserve">SOVRINT. CAPO CON MENO 30 ANNI DI SERV. E  PIU' 4 ANNI nella qualifica  </t>
  </si>
  <si>
    <t xml:space="preserve">SOVRINT. CAPO CON MENO 30 ANNI DI SERV. E  MENO 4 ANNI nella qualifica  </t>
  </si>
  <si>
    <t xml:space="preserve">VICE SOVRINTENDENTE CON PIU' 3 ANNI E 6 MESI  nella qualifica  </t>
  </si>
  <si>
    <t xml:space="preserve">VICE SOVRINTENDENTE CON MENO 3 ANNI E 6 MESI  nella qualifica  </t>
  </si>
  <si>
    <t xml:space="preserve">ASSISTENTE CAPO CON PIU'  16 ANNI DI SERV. E  PIU' 4 ANNI nella qualifica  </t>
  </si>
  <si>
    <t>ASSISTENTE CAPO    (con 8 a. nella qualifica)</t>
  </si>
  <si>
    <t xml:space="preserve">ASSISTENTE CAPO CON PIU'  16 ANNI DI SERV. E  MENO 4 ANNI nella qualifica  </t>
  </si>
  <si>
    <t xml:space="preserve">ASSISTENTE CAPO CON MENO  16 ANNI DI SERV. E  MENO 4 ANNI nella qualifica  </t>
  </si>
  <si>
    <t xml:space="preserve">POSIZIONI DI PROVENIENZA    </t>
  </si>
  <si>
    <t xml:space="preserve">NUOVE POSIZIONI DERIVANTI DALL'INTRODUZIONE DEI PARAMETRI </t>
  </si>
  <si>
    <t>CAPITANO</t>
  </si>
  <si>
    <t>TENENTE</t>
  </si>
  <si>
    <t>SOTTOTENENTE</t>
  </si>
  <si>
    <t>MARESCIALLO CAPO CON MENO DI 10 ANNI NEL GRADO</t>
  </si>
  <si>
    <t>MARESCIALLO CAPO</t>
  </si>
  <si>
    <t xml:space="preserve">MARESCIALLO ORDINARIO CON PIU' 3 ANNI E 6 MESI NEL GRADO  </t>
  </si>
  <si>
    <t xml:space="preserve">MARESCIALLO ORDINARIO                                                         </t>
  </si>
  <si>
    <t xml:space="preserve">MARESCIALLO ORDINARIO CON MENO 3 ANNI E 6 MESI NEL GRADO  </t>
  </si>
  <si>
    <t xml:space="preserve">MARESCIALLO CON PIU' 1 ANN0 NEL GRADO  </t>
  </si>
  <si>
    <t xml:space="preserve">MARESCIALLO                                            </t>
  </si>
  <si>
    <t xml:space="preserve">MARESCIALLO CON MENO 1 ANN0 NEL GRADO  </t>
  </si>
  <si>
    <t xml:space="preserve">BRIGADIERE CAPO CON PIU' 30 ANNI DI SERV. E PIU' 4 ANNI NEL GRADO  </t>
  </si>
  <si>
    <t>BRIGADIERE CAPO    (con 8 a. nel grado)</t>
  </si>
  <si>
    <t xml:space="preserve">BRIGADIERE CAPO CON PIU' 30 ANNI DI SERV. E MENO 4 ANNI NEL GRADO  </t>
  </si>
  <si>
    <t xml:space="preserve">BRIGADIERE CAPO CON MENO 30 ANNI DI SERV. E  PIU' 4 ANNI NEL GRADO  </t>
  </si>
  <si>
    <t xml:space="preserve">BRIGADIERE CAPO CON MENO 30 ANNI DI SERV. E  MENO 4 ANNI NEL GRADO  </t>
  </si>
  <si>
    <t xml:space="preserve">BRIGADIERE CAPO                                        </t>
  </si>
  <si>
    <t>BRIGADIERE</t>
  </si>
  <si>
    <t xml:space="preserve">BRIGADIERE </t>
  </si>
  <si>
    <t xml:space="preserve">VICEBRIGADIERE CON PIU' 3 ANNI E 6 MESI  NEL GRADO  </t>
  </si>
  <si>
    <t xml:space="preserve">VICE BRIGADIERE                                     </t>
  </si>
  <si>
    <t xml:space="preserve">VICEBRIGADIERE CON MENO 3 ANNI E 6 MESI  NEL GRADO  </t>
  </si>
  <si>
    <t xml:space="preserve">APPUNTATO SCELTO CON PIU'  16 ANNI DI SERV. E  PIU' 4 ANNI NEL GRADO  </t>
  </si>
  <si>
    <t>APPUNTATO SCELTO    (con 8 a. nel grado)</t>
  </si>
  <si>
    <t xml:space="preserve">APPUNTATO SCELTO CON PIU'  16 ANNI DI SERV. E  MENO 4 ANNI NEL GRADO  </t>
  </si>
  <si>
    <t>APPUNTATO SCELTO</t>
  </si>
  <si>
    <t xml:space="preserve">APPUNTATO SCELTO CON MENO  16 ANNI DI SERV. E  MENO 4 ANNI NEL GRADO  </t>
  </si>
  <si>
    <t>APPUNTATO</t>
  </si>
  <si>
    <t>CARABINIERE SCELTO\FINANZIERE SCELTO</t>
  </si>
  <si>
    <r>
      <t xml:space="preserve">POSIZIONI DI PROVENIENZA      </t>
    </r>
  </si>
  <si>
    <t>UFFICIALI</t>
  </si>
  <si>
    <t>RUOLO MARESCIALLI</t>
  </si>
  <si>
    <t>1° MARESCIALLO LUOGOTENENTE</t>
  </si>
  <si>
    <t>1° MARESCIALLO CON PIU' 2 ANNI E 4 MESI NEL GRADO E DESTINATARIO DELLO SCATTO D.LGS. 82/2001</t>
  </si>
  <si>
    <t>1° MARESCIALLO CON PIU' 2 ANNI E 4 MESI NEL GRADO E NON DESTINATARIO DELLO SCATTO D.LGS. 82/2001</t>
  </si>
  <si>
    <t>1° MARESCIALLO CON MENO 2 ANNI E 4 MESI NEL GRADO E DESTINATARIO DELLO SCATTO D.LGS. 82/2001</t>
  </si>
  <si>
    <t>MARESCIALLO CAPO CON MENO 10 ANNI NEL GRADO</t>
  </si>
  <si>
    <t>MARESCIALLO ORDINARIO CON PIU' 3 ANNI E SEI MESI NEL GRADO</t>
  </si>
  <si>
    <t>MARESCIALLO ORDINARIO CON MENO 3 ANNI E 6 MESI NEL GRADO</t>
  </si>
  <si>
    <t>MARESCIALLO CON PIU' 1 ANNO NEL GRADO</t>
  </si>
  <si>
    <t>MARESCIALLO</t>
  </si>
  <si>
    <t>MARESCIALLO CON MENO 1 ANNO NEL GRADO</t>
  </si>
  <si>
    <t>RUOLO SERGENTI</t>
  </si>
  <si>
    <t xml:space="preserve">SERG.MAGG. CAPO CON PIU' 30 ANNI DI SERV.
E PIU' 4 ANNI NEL GRADO  </t>
  </si>
  <si>
    <t>SERGENTE MAGGIORE CAPO    (con 8 a. nel grado)</t>
  </si>
  <si>
    <t>SERG.MAGG. CAPO CON PIU' 30 ANNI DI SERV.
 E MENO 4 ANNI NEL GRADO</t>
  </si>
  <si>
    <t>SERG.MAGG. CAPO CON MENO 30 ANNI DI SERV.
 E PIU' 4 ANNI NEL GRADO</t>
  </si>
  <si>
    <t>SERG.MAGG. CAPO CON MENO 30 ANNI DI SERV.
E MENO 4 ANNI NEL GRADO</t>
  </si>
  <si>
    <t xml:space="preserve">SERGENTE MAGGIORE CAPO                                         </t>
  </si>
  <si>
    <t>SERGENTE MAGGIORE</t>
  </si>
  <si>
    <t>SERGENTE CON PIU' 3 ANNI E 6 MESI NEL GRADO</t>
  </si>
  <si>
    <t>SERGENTE</t>
  </si>
  <si>
    <t>SERGENTE CON MENO 3 ANNI E 6 MESI NEL GRADO</t>
  </si>
  <si>
    <t xml:space="preserve">CAPORAL MAGGIORE CAPO SCELTO CON PIU'  16 ANNI DI SERV.
 E  PIU' 4 ANNI NEL GRADO  </t>
  </si>
  <si>
    <t>CAPORAL MAGGIORE CAPO SCELTO  (con 8 a. nel grado)</t>
  </si>
  <si>
    <t>CAPORAL MAGGIORE CAPO SCELTO CON PIU'  16 ANNI DI SERV. E MENO 4 ANNI NEL GRADO</t>
  </si>
  <si>
    <t>CAPORAL MAGGIORE CAPO SCELTO</t>
  </si>
  <si>
    <t>CAPORAL MAGGIORE CAPO SCELTO CON MENO  16 ANNI DI SERV. E MENO 4 ANNI NEL GRADO</t>
  </si>
  <si>
    <t>CAPORAL MAGGIORE CAPO</t>
  </si>
  <si>
    <t>CAPORAL MAGGIORE SCELTO</t>
  </si>
  <si>
    <t xml:space="preserve">1° MARESCIALLO CON MENO 2 ANNI E 4 MESI NEL GRADO E NON DESTINATARIO DELLO SCATTO D.LGS. 82/2001
</t>
  </si>
  <si>
    <t xml:space="preserve">1° MARESCIALLO
</t>
  </si>
  <si>
    <t>TENENTE COLONNELLO                                                                    MAGGIORE</t>
  </si>
  <si>
    <t>TENENTE COLONNELLO                                                                                                MAGGIORE</t>
  </si>
  <si>
    <t xml:space="preserve">IMPORTO MENSILE ANTICIPAZIONI </t>
  </si>
  <si>
    <t xml:space="preserve">ISPETTORE SUPERIORE S.UPS SOSTITUTO COMMISSARIO </t>
  </si>
  <si>
    <t>ISPETTORE SUPERIORE S.UPS CON PIU' DI 2 ANNI E 4 MESI nella qualifica E DESTINATARIO SCATTO D.Lvo 53/2001-87/2001-76/200</t>
  </si>
  <si>
    <t>ISPETTORE SUPERIORE S.UPS CON PIU' DI 2 ANNI E 4 MESI nella qualifica E NON DESTINATARIO SCATTO D.Lvo 53/2001-87/2001-76/2001-</t>
  </si>
  <si>
    <t>ISPETTORE SUPERIORE S.UPS CON MENO 2 ANNI E 4 MESI nella qualifica MA DESTINATARIO SCATTO D.Lvo 53/2001-87/2001-76/2001</t>
  </si>
  <si>
    <t xml:space="preserve">ISPETTORE SUPERIORE S.UPS CON MENO 2 ANNI E 4 MESI nella qualifica E NON DESTINATARIO SCATTO D.Lvo 53/2001 87/2001 76/2001                                                                                                                </t>
  </si>
  <si>
    <t>ISPETTORE SUPERIORE S.UPS</t>
  </si>
  <si>
    <t xml:space="preserve">ISPETTORE SUPERIORE S.UPS (con 8 a. nella qualifica)                </t>
  </si>
  <si>
    <t>MARESCIALLO AIUTANTE S.UPS "LUOGOTENENTE"\ MARESCIALLO AIUTANTE "LUOGOTENENTE"</t>
  </si>
  <si>
    <t>MARESCIALLO AIUTANTE S.UPS \ MARESCIALLO AIUTANTECON PIU' DI 2 ANNI E 4 MESI NEL GRADO E DESTINATARIO SCATTO D.Lvo 83/2001 e D.L.vo 67/2001</t>
  </si>
  <si>
    <t>MARESCIALLO AIUTANTE S.UPS \ MARESCIALLO AIUTANTE CON PIU' DI 2 ANNI E 4 MESI NEL GRADO E NON DESTINATARIO SCATTO D.Lvo 83/2001 e D.L.vo 67/2001</t>
  </si>
  <si>
    <t>MARESCIALLO AIUTANTE S.UPS \ MARESCIALLO AIUTANTE CON MENO 2 ANNI E 4 MESI NEL GRADO MA DESTINATARIO SCATTO D.Lvo 83/2001 e D.L.vo 67/2001</t>
  </si>
  <si>
    <t>MARESCIALLO AIUTANTE S.UPS \ MARESCIALLO AIUTANTE CON MENO 2 ANNI E 4   MESI NEL GRADO E NON DESTINATARIO SCATTO D.Lvo 83/2001 e D.L.vo 67/2001</t>
  </si>
  <si>
    <t xml:space="preserve">MARESCIALLO AIUTANTE S.UPS \ MARESCIALLO AIUTANTE </t>
  </si>
  <si>
    <t xml:space="preserve"> DIRETTIVI</t>
  </si>
  <si>
    <t xml:space="preserve">MARESCIALLO AIUTANTE S.UPS \ MARESCIALLO AIUTANTE (con 8 a. nel grado)                </t>
  </si>
  <si>
    <t>MARESCIALLO ORDINARIO</t>
  </si>
  <si>
    <t>1° MARESCIALLO (con 8 anni nel grado)</t>
  </si>
  <si>
    <t>DIRETTIVI</t>
  </si>
  <si>
    <t xml:space="preserve">MARESCIALLO AIUTANTE S.UPS \ MARESCIALLO AIUTANTE CON MENO 2 ANNI E 4   MESI NEL GRADO E NON DESTINATARIO SCATTO D.Lvo 83/2001 e D.L.vo 67/2001 </t>
  </si>
  <si>
    <t>MARESCIALLO AIUTANTE S.UPS \ MARESCIALLO AIUTANTE</t>
  </si>
  <si>
    <t>(*) SONO RICOMPRESE LE QUALIFICHE CORRISPONDENTI DELLE ALTRE FORZE DI POLIZIA AD ORDINAMENTO CIVILE</t>
  </si>
  <si>
    <t xml:space="preserve">NONCHE' LE QUALIFICHE EQUIPARATE DEGLI ALTRI RUOLI DELLA POLIZIA DI STATO E DEL CORPO FORESTALE DELLO STATO </t>
  </si>
  <si>
    <t>IMPORTO PER 12 MENSILITA'</t>
  </si>
  <si>
    <t>IMPORTO ANNUALE ANTICIPAZIONI ANNO 2002</t>
  </si>
  <si>
    <t>IMPORTO ANNUALE ANTICIPAZIONI ANNO 2003</t>
  </si>
  <si>
    <t xml:space="preserve">IMPORTO  ANTICIPAZIONI </t>
  </si>
  <si>
    <t>IMPORTO  PER DODICI MENSILITA'</t>
  </si>
  <si>
    <t>RUOLO APPUNTATI, CARABINIERI E FINANZIERI</t>
  </si>
  <si>
    <t>RUOLO VOLONTARI IN SERVIZIO PERMANENTE</t>
  </si>
</sst>
</file>

<file path=xl/styles.xml><?xml version="1.0" encoding="utf-8"?>
<styleSheet xmlns="http://schemas.openxmlformats.org/spreadsheetml/2006/main">
  <numFmts count="2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"/>
    <numFmt numFmtId="165" formatCode="#,##0_ ;[Red]\-#,##0\ "/>
    <numFmt numFmtId="166" formatCode="#,##0.00_ ;[Red]\-#,##0.00\ "/>
    <numFmt numFmtId="167" formatCode="#,##0_ ;\-#,##0\ 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#,##0.0000"/>
    <numFmt numFmtId="175" formatCode="#,##0.000000"/>
    <numFmt numFmtId="176" formatCode="#,##0.000"/>
  </numFmts>
  <fonts count="1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/>
    </xf>
    <xf numFmtId="4" fontId="0" fillId="0" borderId="3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1" xfId="0" applyNumberFormat="1" applyBorder="1" applyAlignment="1">
      <alignment/>
    </xf>
    <xf numFmtId="4" fontId="1" fillId="0" borderId="2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4" fontId="0" fillId="0" borderId="1" xfId="0" applyNumberFormat="1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0" fillId="0" borderId="3" xfId="0" applyNumberFormat="1" applyFon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67" fontId="0" fillId="0" borderId="2" xfId="0" applyNumberFormat="1" applyBorder="1" applyAlignment="1">
      <alignment horizontal="center"/>
    </xf>
    <xf numFmtId="167" fontId="0" fillId="0" borderId="3" xfId="0" applyNumberForma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textRotation="90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90" wrapText="1"/>
    </xf>
    <xf numFmtId="4" fontId="0" fillId="0" borderId="4" xfId="0" applyNumberFormat="1" applyBorder="1" applyAlignment="1">
      <alignment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174" fontId="5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" fontId="10" fillId="0" borderId="0" xfId="0" applyNumberFormat="1" applyFont="1" applyAlignment="1">
      <alignment/>
    </xf>
    <xf numFmtId="4" fontId="1" fillId="0" borderId="4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4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4" fontId="0" fillId="0" borderId="16" xfId="0" applyNumberFormat="1" applyBorder="1" applyAlignment="1">
      <alignment horizontal="center"/>
    </xf>
    <xf numFmtId="174" fontId="0" fillId="0" borderId="0" xfId="0" applyNumberFormat="1" applyFont="1" applyAlignment="1">
      <alignment horizontal="center" vertical="center" wrapText="1"/>
    </xf>
    <xf numFmtId="167" fontId="0" fillId="0" borderId="13" xfId="0" applyNumberForma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174" fontId="0" fillId="0" borderId="0" xfId="0" applyNumberFormat="1" applyAlignment="1">
      <alignment horizontal="center"/>
    </xf>
    <xf numFmtId="0" fontId="0" fillId="0" borderId="12" xfId="0" applyBorder="1" applyAlignment="1">
      <alignment/>
    </xf>
    <xf numFmtId="4" fontId="0" fillId="0" borderId="17" xfId="0" applyNumberForma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vertical="center"/>
    </xf>
    <xf numFmtId="0" fontId="12" fillId="0" borderId="1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Font="1" applyBorder="1" applyAlignment="1">
      <alignment/>
    </xf>
    <xf numFmtId="0" fontId="0" fillId="0" borderId="15" xfId="0" applyBorder="1" applyAlignment="1">
      <alignment vertical="center"/>
    </xf>
    <xf numFmtId="0" fontId="12" fillId="0" borderId="20" xfId="0" applyFont="1" applyBorder="1" applyAlignment="1">
      <alignment wrapText="1"/>
    </xf>
    <xf numFmtId="0" fontId="12" fillId="0" borderId="21" xfId="0" applyFont="1" applyBorder="1" applyAlignment="1">
      <alignment wrapText="1"/>
    </xf>
    <xf numFmtId="0" fontId="12" fillId="0" borderId="22" xfId="0" applyFont="1" applyBorder="1" applyAlignment="1">
      <alignment wrapText="1"/>
    </xf>
    <xf numFmtId="1" fontId="12" fillId="0" borderId="18" xfId="0" applyNumberFormat="1" applyFont="1" applyBorder="1" applyAlignment="1">
      <alignment wrapText="1"/>
    </xf>
    <xf numFmtId="0" fontId="12" fillId="0" borderId="18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22" xfId="0" applyFont="1" applyBorder="1" applyAlignment="1">
      <alignment/>
    </xf>
    <xf numFmtId="0" fontId="1" fillId="0" borderId="23" xfId="0" applyFont="1" applyBorder="1" applyAlignment="1">
      <alignment horizontal="left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0" fillId="0" borderId="15" xfId="0" applyBorder="1" applyAlignment="1">
      <alignment/>
    </xf>
    <xf numFmtId="0" fontId="0" fillId="0" borderId="15" xfId="0" applyFill="1" applyBorder="1" applyAlignment="1">
      <alignment vertical="center"/>
    </xf>
    <xf numFmtId="0" fontId="0" fillId="0" borderId="18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Border="1" applyAlignment="1">
      <alignment wrapText="1"/>
    </xf>
    <xf numFmtId="0" fontId="0" fillId="0" borderId="15" xfId="0" applyBorder="1" applyAlignment="1">
      <alignment vertical="center" wrapText="1"/>
    </xf>
    <xf numFmtId="0" fontId="12" fillId="0" borderId="20" xfId="0" applyFont="1" applyFill="1" applyBorder="1" applyAlignment="1">
      <alignment wrapText="1"/>
    </xf>
    <xf numFmtId="0" fontId="12" fillId="0" borderId="21" xfId="0" applyFont="1" applyFill="1" applyBorder="1" applyAlignment="1">
      <alignment wrapText="1"/>
    </xf>
    <xf numFmtId="0" fontId="12" fillId="0" borderId="22" xfId="0" applyFont="1" applyFill="1" applyBorder="1" applyAlignment="1">
      <alignment wrapText="1"/>
    </xf>
    <xf numFmtId="1" fontId="12" fillId="0" borderId="18" xfId="0" applyNumberFormat="1" applyFont="1" applyFill="1" applyBorder="1" applyAlignment="1">
      <alignment wrapText="1"/>
    </xf>
    <xf numFmtId="0" fontId="0" fillId="0" borderId="2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" xfId="0" applyFont="1" applyFill="1" applyBorder="1" applyAlignment="1">
      <alignment/>
    </xf>
    <xf numFmtId="49" fontId="12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/>
    </xf>
    <xf numFmtId="0" fontId="2" fillId="0" borderId="24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 vertical="center" wrapText="1"/>
    </xf>
    <xf numFmtId="4" fontId="0" fillId="0" borderId="24" xfId="0" applyNumberFormat="1" applyBorder="1" applyAlignment="1">
      <alignment/>
    </xf>
    <xf numFmtId="0" fontId="0" fillId="0" borderId="14" xfId="0" applyBorder="1" applyAlignment="1">
      <alignment/>
    </xf>
    <xf numFmtId="0" fontId="4" fillId="0" borderId="24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4" fontId="4" fillId="0" borderId="2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24" xfId="0" applyFont="1" applyBorder="1" applyAlignment="1">
      <alignment/>
    </xf>
    <xf numFmtId="4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4" fontId="0" fillId="0" borderId="0" xfId="0" applyNumberFormat="1" applyAlignment="1">
      <alignment horizontal="left" inden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4" fontId="3" fillId="0" borderId="5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2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24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2" fillId="0" borderId="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7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6" fillId="0" borderId="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7">
    <pageSetUpPr fitToPage="1"/>
  </sheetPr>
  <dimension ref="A1:AE42"/>
  <sheetViews>
    <sheetView workbookViewId="0" topLeftCell="B1">
      <selection activeCell="AA8" sqref="AA8"/>
    </sheetView>
  </sheetViews>
  <sheetFormatPr defaultColWidth="9.140625" defaultRowHeight="12.75"/>
  <cols>
    <col min="1" max="1" width="70.57421875" style="0" customWidth="1"/>
    <col min="2" max="2" width="56.00390625" style="0" customWidth="1"/>
    <col min="3" max="3" width="13.8515625" style="0" hidden="1" customWidth="1"/>
    <col min="4" max="4" width="9.8515625" style="0" hidden="1" customWidth="1"/>
    <col min="5" max="5" width="10.8515625" style="0" hidden="1" customWidth="1"/>
    <col min="6" max="6" width="11.7109375" style="0" hidden="1" customWidth="1"/>
    <col min="7" max="7" width="10.28125" style="0" hidden="1" customWidth="1"/>
    <col min="8" max="8" width="12.57421875" style="0" hidden="1" customWidth="1"/>
    <col min="9" max="9" width="16.57421875" style="0" hidden="1" customWidth="1"/>
    <col min="10" max="10" width="6.57421875" style="0" hidden="1" customWidth="1"/>
    <col min="11" max="11" width="4.8515625" style="0" hidden="1" customWidth="1"/>
    <col min="12" max="12" width="5.00390625" style="0" hidden="1" customWidth="1"/>
    <col min="13" max="13" width="5.8515625" style="0" hidden="1" customWidth="1"/>
    <col min="14" max="14" width="6.28125" style="0" hidden="1" customWidth="1"/>
    <col min="15" max="15" width="11.57421875" style="0" hidden="1" customWidth="1"/>
    <col min="16" max="16" width="11.421875" style="0" hidden="1" customWidth="1"/>
    <col min="17" max="17" width="10.140625" style="0" hidden="1" customWidth="1"/>
    <col min="18" max="18" width="15.7109375" style="0" hidden="1" customWidth="1"/>
    <col min="19" max="19" width="15.8515625" style="0" hidden="1" customWidth="1"/>
    <col min="20" max="20" width="12.28125" style="0" hidden="1" customWidth="1"/>
    <col min="21" max="21" width="15.57421875" style="0" hidden="1" customWidth="1"/>
    <col min="22" max="22" width="15.8515625" style="23" hidden="1" customWidth="1"/>
    <col min="23" max="23" width="14.57421875" style="0" hidden="1" customWidth="1"/>
    <col min="24" max="24" width="13.7109375" style="8" hidden="1" customWidth="1"/>
    <col min="25" max="25" width="21.57421875" style="141" hidden="1" customWidth="1"/>
    <col min="26" max="26" width="15.00390625" style="0" hidden="1" customWidth="1"/>
    <col min="27" max="27" width="23.00390625" style="0" customWidth="1"/>
    <col min="28" max="28" width="15.57421875" style="0" hidden="1" customWidth="1"/>
    <col min="29" max="29" width="15.421875" style="0" hidden="1" customWidth="1"/>
    <col min="30" max="30" width="22.00390625" style="0" hidden="1" customWidth="1"/>
    <col min="31" max="31" width="21.57421875" style="141" hidden="1" customWidth="1"/>
  </cols>
  <sheetData>
    <row r="1" spans="1:31" ht="51" customHeight="1">
      <c r="A1" s="172" t="s">
        <v>59</v>
      </c>
      <c r="B1" s="184" t="s">
        <v>60</v>
      </c>
      <c r="C1" s="180"/>
      <c r="D1" s="180"/>
      <c r="E1" s="180"/>
      <c r="F1" s="180"/>
      <c r="G1" s="180"/>
      <c r="H1" s="180"/>
      <c r="I1" s="180"/>
      <c r="J1" s="174" t="s">
        <v>0</v>
      </c>
      <c r="K1" s="174" t="s">
        <v>1</v>
      </c>
      <c r="L1" s="174" t="s">
        <v>2</v>
      </c>
      <c r="M1" s="175"/>
      <c r="N1" s="161"/>
      <c r="O1" s="167" t="s">
        <v>3</v>
      </c>
      <c r="P1" s="167" t="s">
        <v>4</v>
      </c>
      <c r="Q1" s="167" t="s">
        <v>5</v>
      </c>
      <c r="R1" s="167" t="s">
        <v>18</v>
      </c>
      <c r="S1" s="169" t="s">
        <v>19</v>
      </c>
      <c r="T1" s="170" t="s">
        <v>53</v>
      </c>
      <c r="U1" s="167" t="s">
        <v>22</v>
      </c>
      <c r="V1" s="177" t="s">
        <v>37</v>
      </c>
      <c r="W1" s="167" t="s">
        <v>51</v>
      </c>
      <c r="X1" s="167" t="s">
        <v>52</v>
      </c>
      <c r="Y1" s="148" t="s">
        <v>168</v>
      </c>
      <c r="Z1" s="167" t="s">
        <v>23</v>
      </c>
      <c r="AA1" s="148" t="s">
        <v>171</v>
      </c>
      <c r="AB1" s="167" t="s">
        <v>24</v>
      </c>
      <c r="AC1" s="167" t="s">
        <v>25</v>
      </c>
      <c r="AD1" s="167" t="s">
        <v>50</v>
      </c>
      <c r="AE1" s="148" t="s">
        <v>145</v>
      </c>
    </row>
    <row r="2" spans="1:31" ht="102" customHeight="1" thickBot="1">
      <c r="A2" s="173"/>
      <c r="B2" s="185"/>
      <c r="C2" s="43" t="s">
        <v>34</v>
      </c>
      <c r="D2" s="43" t="s">
        <v>35</v>
      </c>
      <c r="E2" s="43" t="s">
        <v>36</v>
      </c>
      <c r="F2" s="43" t="s">
        <v>54</v>
      </c>
      <c r="G2" s="43" t="s">
        <v>38</v>
      </c>
      <c r="H2" s="43" t="s">
        <v>39</v>
      </c>
      <c r="I2" s="39" t="s">
        <v>55</v>
      </c>
      <c r="J2" s="157"/>
      <c r="K2" s="157"/>
      <c r="L2" s="157"/>
      <c r="M2" s="176"/>
      <c r="N2" s="157"/>
      <c r="O2" s="168"/>
      <c r="P2" s="168"/>
      <c r="Q2" s="168"/>
      <c r="R2" s="168"/>
      <c r="S2" s="168"/>
      <c r="T2" s="171"/>
      <c r="U2" s="168"/>
      <c r="V2" s="178"/>
      <c r="W2" s="168"/>
      <c r="X2" s="168"/>
      <c r="Y2" s="149"/>
      <c r="Z2" s="168"/>
      <c r="AA2" s="171"/>
      <c r="AB2" s="168"/>
      <c r="AC2" s="168"/>
      <c r="AD2" s="168"/>
      <c r="AE2" s="149"/>
    </row>
    <row r="3" spans="2:31" ht="41.25" customHeight="1" thickBot="1">
      <c r="B3" s="38" t="s">
        <v>159</v>
      </c>
      <c r="C3" s="128"/>
      <c r="D3" s="128"/>
      <c r="E3" s="128"/>
      <c r="F3" s="128"/>
      <c r="G3" s="128"/>
      <c r="H3" s="128"/>
      <c r="I3" s="129"/>
      <c r="J3" s="130"/>
      <c r="K3" s="130"/>
      <c r="L3" s="130"/>
      <c r="M3" s="130"/>
      <c r="N3" s="130"/>
      <c r="O3" s="131"/>
      <c r="P3" s="131"/>
      <c r="Q3" s="131"/>
      <c r="R3" s="131"/>
      <c r="S3" s="131"/>
      <c r="T3" s="132"/>
      <c r="U3" s="131"/>
      <c r="V3" s="133"/>
      <c r="W3" s="134"/>
      <c r="X3" s="131"/>
      <c r="Y3" s="135"/>
      <c r="Z3" s="131"/>
      <c r="AA3" s="131"/>
      <c r="AB3" s="131"/>
      <c r="AC3" s="136"/>
      <c r="AD3" s="137"/>
      <c r="AE3" s="135"/>
    </row>
    <row r="4" spans="1:31" ht="17.25" customHeight="1" thickBot="1">
      <c r="A4" s="94" t="s">
        <v>10</v>
      </c>
      <c r="B4" s="95" t="s">
        <v>10</v>
      </c>
      <c r="C4" s="31">
        <v>141</v>
      </c>
      <c r="D4" s="31">
        <v>3</v>
      </c>
      <c r="E4" s="31">
        <v>0</v>
      </c>
      <c r="F4" s="31">
        <v>65</v>
      </c>
      <c r="G4" s="31">
        <v>13</v>
      </c>
      <c r="H4" s="31">
        <v>920</v>
      </c>
      <c r="I4" s="36">
        <f>C4+D4+E4+F4+G4+H4</f>
        <v>1142</v>
      </c>
      <c r="J4" s="28" t="s">
        <v>16</v>
      </c>
      <c r="K4" s="6"/>
      <c r="L4" s="6"/>
      <c r="M4" s="10"/>
      <c r="N4" s="10"/>
      <c r="O4" s="16">
        <f>14437.35</f>
        <v>14437.35</v>
      </c>
      <c r="P4" s="16"/>
      <c r="Q4" s="16"/>
      <c r="R4" s="16"/>
      <c r="S4" s="16"/>
      <c r="T4" s="16">
        <v>6641.4</v>
      </c>
      <c r="U4" s="18">
        <f>SUM(O4:T4)</f>
        <v>21078.75</v>
      </c>
      <c r="V4" s="80">
        <v>150</v>
      </c>
      <c r="W4" s="73">
        <f>ROUND(X34*V4,2)</f>
        <v>22369.5</v>
      </c>
      <c r="X4" s="32">
        <f>W4-U4</f>
        <v>1290.75</v>
      </c>
      <c r="Y4" s="138">
        <f>X4*Q37/100</f>
        <v>345.02134724999996</v>
      </c>
      <c r="Z4" s="16">
        <f>ROUND(Y4/12,2)</f>
        <v>28.75</v>
      </c>
      <c r="AA4" s="18">
        <v>500.18</v>
      </c>
      <c r="AB4" s="16" t="e">
        <f>ROUND(#REF!*0.3838,2)</f>
        <v>#REF!</v>
      </c>
      <c r="AC4" s="55" t="e">
        <f>#REF!+AB4</f>
        <v>#REF!</v>
      </c>
      <c r="AD4" s="58" t="e">
        <f>ROUND(AC4*I4,2)</f>
        <v>#REF!</v>
      </c>
      <c r="AE4" s="138">
        <f>ROUND(Y4/12,2)</f>
        <v>28.75</v>
      </c>
    </row>
    <row r="5" spans="1:31" ht="17.25" customHeight="1" thickBot="1">
      <c r="A5" s="94" t="s">
        <v>11</v>
      </c>
      <c r="B5" s="95" t="s">
        <v>11</v>
      </c>
      <c r="C5" s="2">
        <v>15</v>
      </c>
      <c r="D5" s="2">
        <v>1</v>
      </c>
      <c r="E5" s="2">
        <v>5981</v>
      </c>
      <c r="F5" s="2">
        <v>755</v>
      </c>
      <c r="G5" s="2">
        <v>490</v>
      </c>
      <c r="H5" s="2">
        <v>773</v>
      </c>
      <c r="I5" s="35">
        <f>C5+D5+E5+F5+G5+H5</f>
        <v>8015</v>
      </c>
      <c r="J5" s="13" t="s">
        <v>17</v>
      </c>
      <c r="K5" s="3">
        <v>1</v>
      </c>
      <c r="L5" s="3"/>
      <c r="M5" s="9">
        <f>IF(K5=1,0.025,0.05)</f>
        <v>0.025</v>
      </c>
      <c r="N5" s="9"/>
      <c r="O5" s="15">
        <f>12643.32</f>
        <v>12643.32</v>
      </c>
      <c r="P5" s="15">
        <f>(O5)*M5</f>
        <v>316.083</v>
      </c>
      <c r="Q5" s="15"/>
      <c r="R5" s="15"/>
      <c r="S5" s="15"/>
      <c r="T5" s="15">
        <v>6545.28</v>
      </c>
      <c r="U5" s="18">
        <f>SUM(O5:T5)</f>
        <v>19504.683</v>
      </c>
      <c r="V5" s="81">
        <v>145</v>
      </c>
      <c r="W5" s="14">
        <f>ROUND(X34*V5,2)</f>
        <v>21623.85</v>
      </c>
      <c r="X5" s="30">
        <f>W5-U5</f>
        <v>2119.1669999999976</v>
      </c>
      <c r="Y5" s="138">
        <f>X5*Q37/100</f>
        <v>566.4596966009993</v>
      </c>
      <c r="Z5" s="16">
        <f>ROUND(Y5/12,2)</f>
        <v>47.2</v>
      </c>
      <c r="AA5" s="18">
        <v>791.59</v>
      </c>
      <c r="AB5" s="16" t="e">
        <f>ROUND(#REF!*0.3838,2)</f>
        <v>#REF!</v>
      </c>
      <c r="AC5" s="56" t="e">
        <f>#REF!+AB5</f>
        <v>#REF!</v>
      </c>
      <c r="AD5" s="58" t="e">
        <f>ROUND(AC5*I5,2)</f>
        <v>#REF!</v>
      </c>
      <c r="AE5" s="138">
        <f>ROUND(Y5/12,2)</f>
        <v>47.2</v>
      </c>
    </row>
    <row r="6" spans="1:31" ht="17.25" customHeight="1" thickBot="1">
      <c r="A6" s="94" t="s">
        <v>61</v>
      </c>
      <c r="B6" s="95" t="s">
        <v>12</v>
      </c>
      <c r="C6" s="2">
        <v>0</v>
      </c>
      <c r="D6" s="2">
        <v>6</v>
      </c>
      <c r="E6" s="2">
        <v>3460</v>
      </c>
      <c r="F6" s="2">
        <v>383</v>
      </c>
      <c r="G6" s="2">
        <v>752</v>
      </c>
      <c r="H6" s="2">
        <v>0</v>
      </c>
      <c r="I6" s="35">
        <f>C6+D6+E6+F6+G6+H6</f>
        <v>4601</v>
      </c>
      <c r="J6" s="13" t="s">
        <v>17</v>
      </c>
      <c r="K6" s="3"/>
      <c r="L6" s="3"/>
      <c r="M6" s="9"/>
      <c r="N6" s="9"/>
      <c r="O6" s="15">
        <f>12643.32</f>
        <v>12643.32</v>
      </c>
      <c r="P6" s="15"/>
      <c r="Q6" s="15"/>
      <c r="R6" s="15"/>
      <c r="S6" s="15"/>
      <c r="T6" s="15">
        <v>6545.28</v>
      </c>
      <c r="U6" s="18">
        <f>SUM(O6:T6)</f>
        <v>19188.6</v>
      </c>
      <c r="V6" s="81">
        <v>139</v>
      </c>
      <c r="W6" s="14">
        <f>ROUND(X34*V6,2)</f>
        <v>20729.07</v>
      </c>
      <c r="X6" s="30">
        <f>W6-U6</f>
        <v>1540.4700000000012</v>
      </c>
      <c r="Y6" s="138">
        <f>X6*Q37/100</f>
        <v>411.7722524100003</v>
      </c>
      <c r="Z6" s="16">
        <f>ROUND(Y6/12,2)</f>
        <v>34.31</v>
      </c>
      <c r="AA6" s="18">
        <v>596.64</v>
      </c>
      <c r="AB6" s="16" t="e">
        <f>ROUND(#REF!*0.3838,2)</f>
        <v>#REF!</v>
      </c>
      <c r="AC6" s="56" t="e">
        <f>#REF!+AB6</f>
        <v>#REF!</v>
      </c>
      <c r="AD6" s="58" t="e">
        <f>ROUND(AC6*I6,2)</f>
        <v>#REF!</v>
      </c>
      <c r="AE6" s="138">
        <f>ROUND(Y6/12,2)</f>
        <v>34.31</v>
      </c>
    </row>
    <row r="7" spans="1:31" ht="17.25" customHeight="1" thickBot="1">
      <c r="A7" s="94" t="s">
        <v>62</v>
      </c>
      <c r="B7" s="96" t="s">
        <v>40</v>
      </c>
      <c r="C7" s="5">
        <v>0</v>
      </c>
      <c r="D7" s="5">
        <v>45</v>
      </c>
      <c r="E7" s="5">
        <v>1359</v>
      </c>
      <c r="F7" s="5">
        <v>105</v>
      </c>
      <c r="G7" s="5">
        <v>390</v>
      </c>
      <c r="H7" s="5">
        <v>0</v>
      </c>
      <c r="I7" s="37">
        <f>C7+D7+E7+F7+G7+H7</f>
        <v>1899</v>
      </c>
      <c r="J7" s="45" t="s">
        <v>8</v>
      </c>
      <c r="K7" s="46"/>
      <c r="L7" s="46"/>
      <c r="M7" s="47"/>
      <c r="N7" s="47"/>
      <c r="O7" s="48">
        <f>11861.89</f>
        <v>11861.89</v>
      </c>
      <c r="P7" s="48"/>
      <c r="Q7" s="48"/>
      <c r="R7" s="48"/>
      <c r="S7" s="48"/>
      <c r="T7" s="14">
        <v>6495.48</v>
      </c>
      <c r="U7" s="71">
        <f>SUM(O7:T7)</f>
        <v>18357.37</v>
      </c>
      <c r="V7" s="82">
        <v>133.25</v>
      </c>
      <c r="W7" s="14">
        <f>ROUND(X34*V7,2)</f>
        <v>19871.57</v>
      </c>
      <c r="X7" s="34">
        <f>W7-U7</f>
        <v>1514.2000000000007</v>
      </c>
      <c r="Y7" s="138">
        <f>X7*Q37/100</f>
        <v>404.7502026000002</v>
      </c>
      <c r="Z7" s="16">
        <f>ROUND(Y7/12,2)</f>
        <v>33.73</v>
      </c>
      <c r="AA7" s="18">
        <v>586.44</v>
      </c>
      <c r="AB7" s="16" t="e">
        <f>ROUND(#REF!*0.3838,2)</f>
        <v>#REF!</v>
      </c>
      <c r="AC7" s="57" t="e">
        <f>#REF!+AB7</f>
        <v>#REF!</v>
      </c>
      <c r="AD7" s="58" t="e">
        <f>ROUND(AC7*I7,2)</f>
        <v>#REF!</v>
      </c>
      <c r="AE7" s="138">
        <f>ROUND(Y7/12,2)</f>
        <v>33.73</v>
      </c>
    </row>
    <row r="8" spans="2:31" ht="25.5" customHeight="1" thickBot="1">
      <c r="B8" s="29" t="s">
        <v>13</v>
      </c>
      <c r="C8" s="26"/>
      <c r="D8" s="26"/>
      <c r="E8" s="27"/>
      <c r="F8" s="27"/>
      <c r="G8" s="26"/>
      <c r="H8" s="26"/>
      <c r="I8" s="27"/>
      <c r="J8" s="24"/>
      <c r="K8" s="52"/>
      <c r="L8" s="52"/>
      <c r="M8" s="53"/>
      <c r="N8" s="53"/>
      <c r="O8" s="54"/>
      <c r="P8" s="54"/>
      <c r="Q8" s="54"/>
      <c r="R8" s="54"/>
      <c r="S8" s="54"/>
      <c r="T8" s="62"/>
      <c r="U8" s="72"/>
      <c r="V8" s="62"/>
      <c r="W8" s="62"/>
      <c r="X8" s="75"/>
      <c r="Y8" s="139"/>
      <c r="Z8" s="20"/>
      <c r="AA8" s="21"/>
      <c r="AB8" s="20"/>
      <c r="AC8" s="20"/>
      <c r="AD8" s="21"/>
      <c r="AE8" s="139"/>
    </row>
    <row r="9" spans="1:31" ht="28.5" customHeight="1" thickBot="1">
      <c r="A9" s="94" t="s">
        <v>146</v>
      </c>
      <c r="B9" s="97" t="s">
        <v>146</v>
      </c>
      <c r="C9" s="31">
        <v>124</v>
      </c>
      <c r="D9" s="31">
        <v>115</v>
      </c>
      <c r="E9" s="31">
        <v>2564</v>
      </c>
      <c r="F9" s="31">
        <v>1871</v>
      </c>
      <c r="G9" s="31">
        <v>2396</v>
      </c>
      <c r="H9" s="31">
        <v>2670</v>
      </c>
      <c r="I9" s="36">
        <f aca="true" t="shared" si="0" ref="I9:I18">C9+D9+E9+F9+G9+H9</f>
        <v>9740</v>
      </c>
      <c r="J9" s="161" t="s">
        <v>8</v>
      </c>
      <c r="K9" s="49"/>
      <c r="L9" s="49">
        <v>2</v>
      </c>
      <c r="M9" s="49"/>
      <c r="N9" s="50">
        <f>IF(L9=1,0.025,0.05)</f>
        <v>0.05</v>
      </c>
      <c r="O9" s="51">
        <f>11861.89</f>
        <v>11861.89</v>
      </c>
      <c r="P9" s="51"/>
      <c r="Q9" s="51">
        <f>(O9)*N9</f>
        <v>593.0945</v>
      </c>
      <c r="R9" s="44"/>
      <c r="S9" s="51">
        <v>781.43</v>
      </c>
      <c r="T9" s="14">
        <v>6495.48</v>
      </c>
      <c r="U9" s="70">
        <f aca="true" t="shared" si="1" ref="U9:U18">SUM(O9:T9)</f>
        <v>19731.8945</v>
      </c>
      <c r="V9" s="83">
        <v>139</v>
      </c>
      <c r="W9" s="73">
        <f>ROUND(X34*V9,2)</f>
        <v>20729.07</v>
      </c>
      <c r="X9" s="74">
        <f aca="true" t="shared" si="2" ref="X9:X18">W9-U9</f>
        <v>997.1755000000012</v>
      </c>
      <c r="Y9" s="138">
        <f>X9*Q37/100</f>
        <v>266.54800267650035</v>
      </c>
      <c r="Z9" s="16">
        <f aca="true" t="shared" si="3" ref="Z9:Z18">ROUND(Y9/12,2)</f>
        <v>22.21</v>
      </c>
      <c r="AA9" s="18">
        <v>386.6</v>
      </c>
      <c r="AB9" s="16" t="e">
        <f>ROUND(#REF!*0.3838,2)</f>
        <v>#REF!</v>
      </c>
      <c r="AC9" s="55" t="e">
        <f>#REF!+AB9</f>
        <v>#REF!</v>
      </c>
      <c r="AD9" s="58" t="e">
        <f aca="true" t="shared" si="4" ref="AD9:AD18">ROUND(AC9*I9,2)</f>
        <v>#REF!</v>
      </c>
      <c r="AE9" s="138">
        <f aca="true" t="shared" si="5" ref="AE9:AE18">ROUND(Y9/12,2)</f>
        <v>22.21</v>
      </c>
    </row>
    <row r="10" spans="1:31" ht="38.25" customHeight="1" thickBot="1">
      <c r="A10" s="98" t="s">
        <v>147</v>
      </c>
      <c r="B10" s="181" t="s">
        <v>152</v>
      </c>
      <c r="C10" s="2">
        <v>246</v>
      </c>
      <c r="D10" s="2">
        <v>139</v>
      </c>
      <c r="E10" s="2">
        <v>7096</v>
      </c>
      <c r="F10" s="2">
        <v>4030</v>
      </c>
      <c r="G10" s="2">
        <v>6556</v>
      </c>
      <c r="H10" s="2">
        <v>2653</v>
      </c>
      <c r="I10" s="35">
        <f t="shared" si="0"/>
        <v>20720</v>
      </c>
      <c r="J10" s="156"/>
      <c r="K10" s="3"/>
      <c r="L10" s="3">
        <v>1</v>
      </c>
      <c r="M10" s="3"/>
      <c r="N10" s="9">
        <f>IF(L10=1,0.025,0.05)</f>
        <v>0.025</v>
      </c>
      <c r="O10" s="15">
        <f>11861.89</f>
        <v>11861.89</v>
      </c>
      <c r="P10" s="15"/>
      <c r="Q10" s="15">
        <f>(O10)*N10</f>
        <v>296.54725</v>
      </c>
      <c r="R10" s="17"/>
      <c r="S10" s="15">
        <v>781.43</v>
      </c>
      <c r="T10" s="14">
        <v>6495.48</v>
      </c>
      <c r="U10" s="18">
        <f t="shared" si="1"/>
        <v>19435.34725</v>
      </c>
      <c r="V10" s="164">
        <v>135.5</v>
      </c>
      <c r="W10" s="73">
        <f>ROUND(X34*V10,2)</f>
        <v>20207.12</v>
      </c>
      <c r="X10" s="30">
        <f t="shared" si="2"/>
        <v>771.7727500000001</v>
      </c>
      <c r="Y10" s="138">
        <f>X10*Q37/100</f>
        <v>206.29717139325004</v>
      </c>
      <c r="Z10" s="16">
        <f t="shared" si="3"/>
        <v>17.19</v>
      </c>
      <c r="AA10" s="18">
        <v>299.42</v>
      </c>
      <c r="AB10" s="16" t="e">
        <f>ROUND(#REF!*0.3838,2)</f>
        <v>#REF!</v>
      </c>
      <c r="AC10" s="56" t="e">
        <f>#REF!+AB10</f>
        <v>#REF!</v>
      </c>
      <c r="AD10" s="58" t="e">
        <f t="shared" si="4"/>
        <v>#REF!</v>
      </c>
      <c r="AE10" s="138">
        <f t="shared" si="5"/>
        <v>17.19</v>
      </c>
    </row>
    <row r="11" spans="1:31" ht="31.5" customHeight="1" thickBot="1">
      <c r="A11" s="99" t="s">
        <v>148</v>
      </c>
      <c r="B11" s="182"/>
      <c r="C11" s="2">
        <v>0</v>
      </c>
      <c r="D11" s="2">
        <v>0</v>
      </c>
      <c r="E11" s="2">
        <v>3553</v>
      </c>
      <c r="F11" s="2">
        <v>0</v>
      </c>
      <c r="G11" s="2">
        <v>32</v>
      </c>
      <c r="H11" s="2">
        <v>0</v>
      </c>
      <c r="I11" s="35">
        <f t="shared" si="0"/>
        <v>3585</v>
      </c>
      <c r="J11" s="156"/>
      <c r="K11" s="3"/>
      <c r="L11" s="3"/>
      <c r="M11" s="3"/>
      <c r="N11" s="9"/>
      <c r="O11" s="15">
        <f>11861.89</f>
        <v>11861.89</v>
      </c>
      <c r="P11" s="15"/>
      <c r="Q11" s="15"/>
      <c r="R11" s="17"/>
      <c r="S11" s="15">
        <v>781.43</v>
      </c>
      <c r="T11" s="14">
        <v>6495.48</v>
      </c>
      <c r="U11" s="18">
        <f t="shared" si="1"/>
        <v>19138.8</v>
      </c>
      <c r="V11" s="165"/>
      <c r="W11" s="73">
        <f>ROUND(X34*V10,2)</f>
        <v>20207.12</v>
      </c>
      <c r="X11" s="30">
        <f t="shared" si="2"/>
        <v>1068.3199999999997</v>
      </c>
      <c r="Y11" s="138">
        <f>X11*Q37/100</f>
        <v>285.5651409599999</v>
      </c>
      <c r="Z11" s="16">
        <f t="shared" si="3"/>
        <v>23.8</v>
      </c>
      <c r="AA11" s="18">
        <v>414.07</v>
      </c>
      <c r="AB11" s="16" t="e">
        <f>ROUND(#REF!*0.3838,2)</f>
        <v>#REF!</v>
      </c>
      <c r="AC11" s="56" t="e">
        <f>#REF!+AB11</f>
        <v>#REF!</v>
      </c>
      <c r="AD11" s="58" t="e">
        <f t="shared" si="4"/>
        <v>#REF!</v>
      </c>
      <c r="AE11" s="138">
        <f t="shared" si="5"/>
        <v>23.8</v>
      </c>
    </row>
    <row r="12" spans="1:31" ht="35.25" customHeight="1" thickBot="1">
      <c r="A12" s="100" t="s">
        <v>149</v>
      </c>
      <c r="B12" s="183"/>
      <c r="C12" s="2">
        <v>120</v>
      </c>
      <c r="D12" s="2">
        <v>93</v>
      </c>
      <c r="E12" s="2">
        <v>0</v>
      </c>
      <c r="F12" s="2">
        <v>1452</v>
      </c>
      <c r="G12" s="2">
        <v>1000</v>
      </c>
      <c r="H12" s="2">
        <v>346</v>
      </c>
      <c r="I12" s="35">
        <f t="shared" si="0"/>
        <v>3011</v>
      </c>
      <c r="J12" s="156"/>
      <c r="K12" s="3"/>
      <c r="L12" s="3">
        <v>1</v>
      </c>
      <c r="M12" s="3"/>
      <c r="N12" s="9">
        <f>IF(L12=1,0.025,0.05)</f>
        <v>0.025</v>
      </c>
      <c r="O12" s="15">
        <f>11861.89</f>
        <v>11861.89</v>
      </c>
      <c r="P12" s="15"/>
      <c r="Q12" s="15">
        <f>(O12)*N12</f>
        <v>296.54725</v>
      </c>
      <c r="R12" s="17"/>
      <c r="S12" s="15"/>
      <c r="T12" s="14">
        <v>6495.48</v>
      </c>
      <c r="U12" s="18">
        <f t="shared" si="1"/>
        <v>18653.91725</v>
      </c>
      <c r="V12" s="166"/>
      <c r="W12" s="73">
        <f>ROUND(X34*V10,2)</f>
        <v>20207.12</v>
      </c>
      <c r="X12" s="30">
        <f t="shared" si="2"/>
        <v>1553.2027500000004</v>
      </c>
      <c r="Y12" s="138">
        <f>X12*Q37/100</f>
        <v>415.17575468325015</v>
      </c>
      <c r="Z12" s="16">
        <f t="shared" si="3"/>
        <v>34.6</v>
      </c>
      <c r="AA12" s="18">
        <v>601.53</v>
      </c>
      <c r="AB12" s="16" t="e">
        <f>ROUND(#REF!*0.3838,2)</f>
        <v>#REF!</v>
      </c>
      <c r="AC12" s="56" t="e">
        <f>#REF!+AB12</f>
        <v>#REF!</v>
      </c>
      <c r="AD12" s="58" t="e">
        <f t="shared" si="4"/>
        <v>#REF!</v>
      </c>
      <c r="AE12" s="138">
        <f t="shared" si="5"/>
        <v>34.6</v>
      </c>
    </row>
    <row r="13" spans="1:31" s="8" customFormat="1" ht="40.5" customHeight="1" thickBot="1">
      <c r="A13" s="101" t="s">
        <v>150</v>
      </c>
      <c r="B13" s="97" t="s">
        <v>151</v>
      </c>
      <c r="C13" s="2">
        <v>29</v>
      </c>
      <c r="D13" s="2">
        <v>0</v>
      </c>
      <c r="E13" s="2">
        <v>1774</v>
      </c>
      <c r="F13" s="2">
        <v>547</v>
      </c>
      <c r="G13" s="2">
        <v>324</v>
      </c>
      <c r="H13" s="2">
        <v>272</v>
      </c>
      <c r="I13" s="35">
        <f t="shared" si="0"/>
        <v>2946</v>
      </c>
      <c r="J13" s="156"/>
      <c r="K13" s="3"/>
      <c r="L13" s="3"/>
      <c r="M13" s="3"/>
      <c r="N13" s="9"/>
      <c r="O13" s="15">
        <f>11861.89</f>
        <v>11861.89</v>
      </c>
      <c r="P13" s="15"/>
      <c r="Q13" s="15"/>
      <c r="R13" s="15"/>
      <c r="S13" s="15"/>
      <c r="T13" s="14">
        <v>6495.48</v>
      </c>
      <c r="U13" s="18">
        <f t="shared" si="1"/>
        <v>18357.37</v>
      </c>
      <c r="V13" s="81">
        <v>133</v>
      </c>
      <c r="W13" s="73">
        <f>ROUND(X34*V13,2)</f>
        <v>19834.29</v>
      </c>
      <c r="X13" s="30">
        <f t="shared" si="2"/>
        <v>1476.920000000002</v>
      </c>
      <c r="Y13" s="138">
        <f>X13*Q37/100</f>
        <v>394.7851467600005</v>
      </c>
      <c r="Z13" s="16">
        <f t="shared" si="3"/>
        <v>32.9</v>
      </c>
      <c r="AA13" s="18">
        <v>572.02</v>
      </c>
      <c r="AB13" s="16" t="e">
        <f>ROUND(#REF!*0.3838,2)</f>
        <v>#REF!</v>
      </c>
      <c r="AC13" s="56" t="e">
        <f>#REF!+AB13</f>
        <v>#REF!</v>
      </c>
      <c r="AD13" s="58" t="e">
        <f t="shared" si="4"/>
        <v>#REF!</v>
      </c>
      <c r="AE13" s="138">
        <f t="shared" si="5"/>
        <v>32.9</v>
      </c>
    </row>
    <row r="14" spans="1:31" ht="25.5" customHeight="1" thickBot="1">
      <c r="A14" s="102" t="s">
        <v>63</v>
      </c>
      <c r="B14" s="97" t="s">
        <v>6</v>
      </c>
      <c r="C14" s="2">
        <v>717</v>
      </c>
      <c r="D14" s="2">
        <v>1132</v>
      </c>
      <c r="E14" s="2">
        <v>24148</v>
      </c>
      <c r="F14" s="2">
        <v>7716</v>
      </c>
      <c r="G14" s="2">
        <v>11836</v>
      </c>
      <c r="H14" s="2">
        <v>12307</v>
      </c>
      <c r="I14" s="35">
        <f t="shared" si="0"/>
        <v>57856</v>
      </c>
      <c r="J14" s="13" t="s">
        <v>26</v>
      </c>
      <c r="K14" s="3"/>
      <c r="L14" s="3"/>
      <c r="M14" s="3"/>
      <c r="N14" s="9"/>
      <c r="O14" s="15">
        <f>11082.86</f>
        <v>11082.86</v>
      </c>
      <c r="P14" s="15"/>
      <c r="Q14" s="15"/>
      <c r="R14" s="15"/>
      <c r="S14" s="15"/>
      <c r="T14" s="15">
        <v>6445.8</v>
      </c>
      <c r="U14" s="18">
        <f t="shared" si="1"/>
        <v>17528.66</v>
      </c>
      <c r="V14" s="81">
        <v>128</v>
      </c>
      <c r="W14" s="73">
        <f>ROUND(X34*V14,2)</f>
        <v>19088.64</v>
      </c>
      <c r="X14" s="30">
        <f t="shared" si="2"/>
        <v>1559.9799999999996</v>
      </c>
      <c r="Y14" s="138">
        <f>X14*Q37/100</f>
        <v>416.98733393999987</v>
      </c>
      <c r="Z14" s="16">
        <f t="shared" si="3"/>
        <v>34.75</v>
      </c>
      <c r="AA14" s="18">
        <v>604.1</v>
      </c>
      <c r="AB14" s="16" t="e">
        <f>ROUND(#REF!*0.3838,2)</f>
        <v>#REF!</v>
      </c>
      <c r="AC14" s="56" t="e">
        <f>#REF!+AB14</f>
        <v>#REF!</v>
      </c>
      <c r="AD14" s="58" t="e">
        <f t="shared" si="4"/>
        <v>#REF!</v>
      </c>
      <c r="AE14" s="138">
        <f t="shared" si="5"/>
        <v>34.75</v>
      </c>
    </row>
    <row r="15" spans="1:31" ht="21.75" customHeight="1" thickBot="1">
      <c r="A15" s="103" t="s">
        <v>64</v>
      </c>
      <c r="B15" s="146" t="s">
        <v>29</v>
      </c>
      <c r="C15" s="2">
        <v>3</v>
      </c>
      <c r="D15" s="2">
        <v>634</v>
      </c>
      <c r="E15" s="2">
        <v>15878</v>
      </c>
      <c r="F15" s="2">
        <v>5107</v>
      </c>
      <c r="G15" s="2">
        <v>4300</v>
      </c>
      <c r="H15" s="2">
        <v>2268</v>
      </c>
      <c r="I15" s="35">
        <f t="shared" si="0"/>
        <v>28190</v>
      </c>
      <c r="J15" s="156" t="s">
        <v>9</v>
      </c>
      <c r="K15" s="3">
        <v>1</v>
      </c>
      <c r="L15" s="3"/>
      <c r="M15" s="9">
        <f>IF(K15=1,0.025,0.05)</f>
        <v>0.025</v>
      </c>
      <c r="N15" s="9"/>
      <c r="O15" s="15">
        <f>10379.57</f>
        <v>10379.57</v>
      </c>
      <c r="P15" s="15">
        <f>(O15)*M15</f>
        <v>259.48925</v>
      </c>
      <c r="Q15" s="15"/>
      <c r="R15" s="15">
        <v>258.23</v>
      </c>
      <c r="S15" s="15"/>
      <c r="T15" s="15">
        <v>6408.48</v>
      </c>
      <c r="U15" s="18">
        <f t="shared" si="1"/>
        <v>17305.769249999998</v>
      </c>
      <c r="V15" s="154">
        <v>124</v>
      </c>
      <c r="W15" s="73">
        <f>ROUND(X34*V15,2)</f>
        <v>18492.12</v>
      </c>
      <c r="X15" s="30">
        <f t="shared" si="2"/>
        <v>1186.3507500000014</v>
      </c>
      <c r="Y15" s="138">
        <f>X15*Q37/100</f>
        <v>317.1151145272504</v>
      </c>
      <c r="Z15" s="16">
        <f t="shared" si="3"/>
        <v>26.43</v>
      </c>
      <c r="AA15" s="18">
        <v>459.62</v>
      </c>
      <c r="AB15" s="16" t="e">
        <f>ROUND(#REF!*0.3838,2)</f>
        <v>#REF!</v>
      </c>
      <c r="AC15" s="56" t="e">
        <f>#REF!+AB15</f>
        <v>#REF!</v>
      </c>
      <c r="AD15" s="58" t="e">
        <f t="shared" si="4"/>
        <v>#REF!</v>
      </c>
      <c r="AE15" s="138">
        <f t="shared" si="5"/>
        <v>26.43</v>
      </c>
    </row>
    <row r="16" spans="1:31" ht="25.5" customHeight="1" thickBot="1">
      <c r="A16" s="104" t="s">
        <v>65</v>
      </c>
      <c r="B16" s="147"/>
      <c r="C16" s="2">
        <v>300</v>
      </c>
      <c r="D16" s="2">
        <v>320</v>
      </c>
      <c r="E16" s="2">
        <v>10586</v>
      </c>
      <c r="F16" s="2">
        <v>1400</v>
      </c>
      <c r="G16" s="2">
        <v>1591</v>
      </c>
      <c r="H16" s="2">
        <v>10</v>
      </c>
      <c r="I16" s="35">
        <f t="shared" si="0"/>
        <v>14207</v>
      </c>
      <c r="J16" s="156"/>
      <c r="K16" s="3">
        <v>1</v>
      </c>
      <c r="L16" s="3"/>
      <c r="M16" s="9">
        <f>IF(K16=1,0.025,0.05)</f>
        <v>0.025</v>
      </c>
      <c r="N16" s="9"/>
      <c r="O16" s="15">
        <f>10379.57</f>
        <v>10379.57</v>
      </c>
      <c r="P16" s="15">
        <f>(O16)*M16</f>
        <v>259.48925</v>
      </c>
      <c r="Q16" s="15"/>
      <c r="R16" s="15"/>
      <c r="S16" s="15"/>
      <c r="T16" s="15">
        <v>6408.48</v>
      </c>
      <c r="U16" s="18">
        <f t="shared" si="1"/>
        <v>17047.53925</v>
      </c>
      <c r="V16" s="155"/>
      <c r="W16" s="73">
        <f>ROUND(X34*V15,2)</f>
        <v>18492.12</v>
      </c>
      <c r="X16" s="30">
        <f t="shared" si="2"/>
        <v>1444.5807499999974</v>
      </c>
      <c r="Y16" s="138">
        <f>X16*Q37/100</f>
        <v>386.1407682172493</v>
      </c>
      <c r="Z16" s="16">
        <f t="shared" si="3"/>
        <v>32.18</v>
      </c>
      <c r="AA16" s="18">
        <v>559.45</v>
      </c>
      <c r="AB16" s="16" t="e">
        <f>ROUND(#REF!*0.3838,2)</f>
        <v>#REF!</v>
      </c>
      <c r="AC16" s="56" t="e">
        <f>#REF!+AB16</f>
        <v>#REF!</v>
      </c>
      <c r="AD16" s="58" t="e">
        <f t="shared" si="4"/>
        <v>#REF!</v>
      </c>
      <c r="AE16" s="138">
        <f t="shared" si="5"/>
        <v>32.18</v>
      </c>
    </row>
    <row r="17" spans="1:31" ht="21.75" customHeight="1" thickBot="1">
      <c r="A17" s="103" t="s">
        <v>66</v>
      </c>
      <c r="B17" s="146" t="s">
        <v>28</v>
      </c>
      <c r="C17" s="2">
        <v>0</v>
      </c>
      <c r="D17" s="2">
        <v>167</v>
      </c>
      <c r="E17" s="2">
        <v>1614</v>
      </c>
      <c r="F17" s="2">
        <v>2</v>
      </c>
      <c r="G17" s="2">
        <v>411</v>
      </c>
      <c r="H17" s="2">
        <v>65</v>
      </c>
      <c r="I17" s="35">
        <f t="shared" si="0"/>
        <v>2259</v>
      </c>
      <c r="J17" s="156" t="s">
        <v>7</v>
      </c>
      <c r="K17" s="3">
        <v>2</v>
      </c>
      <c r="L17" s="3"/>
      <c r="M17" s="9">
        <f>IF(K17=1,0.025,0.05)</f>
        <v>0.05</v>
      </c>
      <c r="N17" s="9"/>
      <c r="O17" s="15">
        <f>9675.07</f>
        <v>9675.07</v>
      </c>
      <c r="P17" s="15">
        <f>(O17)*M17</f>
        <v>483.75350000000003</v>
      </c>
      <c r="Q17" s="15"/>
      <c r="R17" s="15">
        <v>258.23</v>
      </c>
      <c r="S17" s="15"/>
      <c r="T17" s="15">
        <v>6371.04</v>
      </c>
      <c r="U17" s="18">
        <f t="shared" si="1"/>
        <v>16788.0935</v>
      </c>
      <c r="V17" s="154">
        <v>120.75</v>
      </c>
      <c r="W17" s="73">
        <f>ROUND(X34*V17,2)</f>
        <v>18007.45</v>
      </c>
      <c r="X17" s="30">
        <f t="shared" si="2"/>
        <v>1219.3565000000017</v>
      </c>
      <c r="Y17" s="138">
        <f>X17*Q37/100</f>
        <v>325.93765051950044</v>
      </c>
      <c r="Z17" s="16">
        <f t="shared" si="3"/>
        <v>27.16</v>
      </c>
      <c r="AA17" s="18">
        <v>472.35</v>
      </c>
      <c r="AB17" s="16" t="e">
        <f>ROUND(#REF!*0.3838,2)</f>
        <v>#REF!</v>
      </c>
      <c r="AC17" s="56" t="e">
        <f>#REF!+AB17</f>
        <v>#REF!</v>
      </c>
      <c r="AD17" s="58" t="e">
        <f t="shared" si="4"/>
        <v>#REF!</v>
      </c>
      <c r="AE17" s="138">
        <f t="shared" si="5"/>
        <v>27.16</v>
      </c>
    </row>
    <row r="18" spans="1:31" ht="22.5" customHeight="1" thickBot="1">
      <c r="A18" s="104" t="s">
        <v>67</v>
      </c>
      <c r="B18" s="147"/>
      <c r="C18" s="5">
        <v>0</v>
      </c>
      <c r="D18" s="5">
        <v>22</v>
      </c>
      <c r="E18" s="5">
        <v>1614</v>
      </c>
      <c r="F18" s="5">
        <v>0</v>
      </c>
      <c r="G18" s="5">
        <v>408</v>
      </c>
      <c r="H18" s="5">
        <v>0</v>
      </c>
      <c r="I18" s="37">
        <f t="shared" si="0"/>
        <v>2044</v>
      </c>
      <c r="J18" s="157"/>
      <c r="K18" s="7">
        <v>2</v>
      </c>
      <c r="L18" s="7"/>
      <c r="M18" s="11">
        <f>IF(K18=1,0.025,0.05)</f>
        <v>0.05</v>
      </c>
      <c r="N18" s="11"/>
      <c r="O18" s="14">
        <f>9675.07</f>
        <v>9675.07</v>
      </c>
      <c r="P18" s="14">
        <f>(O18)*M18</f>
        <v>483.75350000000003</v>
      </c>
      <c r="Q18" s="14"/>
      <c r="R18" s="14"/>
      <c r="S18" s="14"/>
      <c r="T18" s="15">
        <v>6371.04</v>
      </c>
      <c r="U18" s="18">
        <f t="shared" si="1"/>
        <v>16529.8635</v>
      </c>
      <c r="V18" s="160"/>
      <c r="W18" s="73">
        <f>ROUND(X34*V17,2)</f>
        <v>18007.45</v>
      </c>
      <c r="X18" s="34">
        <f t="shared" si="2"/>
        <v>1477.5865000000013</v>
      </c>
      <c r="Y18" s="138">
        <f>X18*Q37/100</f>
        <v>394.96330420950034</v>
      </c>
      <c r="Z18" s="16">
        <f t="shared" si="3"/>
        <v>32.91</v>
      </c>
      <c r="AA18" s="18">
        <v>572.18</v>
      </c>
      <c r="AB18" s="16" t="e">
        <f>ROUND(#REF!*0.3838,2)</f>
        <v>#REF!</v>
      </c>
      <c r="AC18" s="59" t="e">
        <f>#REF!+AB18</f>
        <v>#REF!</v>
      </c>
      <c r="AD18" s="58" t="e">
        <f t="shared" si="4"/>
        <v>#REF!</v>
      </c>
      <c r="AE18" s="138">
        <f t="shared" si="5"/>
        <v>32.91</v>
      </c>
    </row>
    <row r="19" spans="2:31" ht="24.75" customHeight="1" thickBot="1">
      <c r="B19" s="105" t="s">
        <v>14</v>
      </c>
      <c r="C19" s="26"/>
      <c r="D19" s="26"/>
      <c r="E19" s="27"/>
      <c r="F19" s="27"/>
      <c r="G19" s="26"/>
      <c r="H19" s="26"/>
      <c r="I19" s="27"/>
      <c r="J19" s="8"/>
      <c r="K19" s="8"/>
      <c r="L19" s="8"/>
      <c r="M19" s="8"/>
      <c r="N19" s="8"/>
      <c r="O19" s="20"/>
      <c r="P19" s="20"/>
      <c r="Q19" s="20"/>
      <c r="R19" s="20"/>
      <c r="S19" s="20"/>
      <c r="T19" s="62"/>
      <c r="U19" s="21"/>
      <c r="V19" s="20"/>
      <c r="W19" s="77"/>
      <c r="X19" s="19"/>
      <c r="Y19" s="139"/>
      <c r="Z19" s="20"/>
      <c r="AA19" s="21"/>
      <c r="AB19" s="20"/>
      <c r="AC19" s="20"/>
      <c r="AD19" s="21"/>
      <c r="AE19" s="139"/>
    </row>
    <row r="20" spans="1:31" ht="24.75" customHeight="1" thickBot="1">
      <c r="A20" s="106" t="s">
        <v>68</v>
      </c>
      <c r="B20" s="146" t="s">
        <v>69</v>
      </c>
      <c r="C20" s="31">
        <v>79</v>
      </c>
      <c r="D20" s="31">
        <v>108</v>
      </c>
      <c r="E20" s="31">
        <v>0</v>
      </c>
      <c r="F20" s="31">
        <v>64</v>
      </c>
      <c r="G20" s="31">
        <v>794</v>
      </c>
      <c r="H20" s="31">
        <v>1265</v>
      </c>
      <c r="I20" s="31">
        <f aca="true" t="shared" si="6" ref="I20:I26">C20+D20+E20+F20+G20+H20</f>
        <v>2310</v>
      </c>
      <c r="J20" s="161" t="s">
        <v>9</v>
      </c>
      <c r="K20" s="6"/>
      <c r="L20" s="6">
        <v>1</v>
      </c>
      <c r="M20" s="10"/>
      <c r="N20" s="10">
        <f>IF(L20=1,0.025,0.05)</f>
        <v>0.025</v>
      </c>
      <c r="O20" s="16">
        <f>10379.57</f>
        <v>10379.57</v>
      </c>
      <c r="P20" s="16"/>
      <c r="Q20" s="16">
        <f>(O20)*N20</f>
        <v>259.48925</v>
      </c>
      <c r="R20" s="16"/>
      <c r="S20" s="16">
        <v>232.41</v>
      </c>
      <c r="T20" s="15">
        <v>6408.48</v>
      </c>
      <c r="U20" s="18">
        <f aca="true" t="shared" si="7" ref="U20:U26">SUM(O20:T20)</f>
        <v>17279.949249999998</v>
      </c>
      <c r="V20" s="162">
        <v>122.5</v>
      </c>
      <c r="W20" s="73">
        <f>ROUND(X34*V20,2)</f>
        <v>18268.43</v>
      </c>
      <c r="X20" s="32">
        <f aca="true" t="shared" si="8" ref="X20:X26">W20-U20</f>
        <v>988.4807500000024</v>
      </c>
      <c r="Y20" s="138">
        <f>X20*Q37/100</f>
        <v>264.2238699172507</v>
      </c>
      <c r="Z20" s="16">
        <f aca="true" t="shared" si="9" ref="Z20:Z26">ROUND(Y20/12,2)</f>
        <v>22.02</v>
      </c>
      <c r="AA20" s="18">
        <v>383.11</v>
      </c>
      <c r="AB20" s="16" t="e">
        <f>ROUND(#REF!*0.3838,2)</f>
        <v>#REF!</v>
      </c>
      <c r="AC20" s="55" t="e">
        <f>#REF!+AB20</f>
        <v>#REF!</v>
      </c>
      <c r="AD20" s="58" t="e">
        <f aca="true" t="shared" si="10" ref="AD20:AD26">ROUND(AC20*I20,2)</f>
        <v>#REF!</v>
      </c>
      <c r="AE20" s="138">
        <f aca="true" t="shared" si="11" ref="AE20:AE26">ROUND(Y20/12,2)</f>
        <v>22.02</v>
      </c>
    </row>
    <row r="21" spans="1:31" ht="26.25" customHeight="1" thickBot="1">
      <c r="A21" s="107" t="s">
        <v>70</v>
      </c>
      <c r="B21" s="179"/>
      <c r="C21" s="2">
        <v>8</v>
      </c>
      <c r="D21" s="2">
        <v>13</v>
      </c>
      <c r="E21" s="2">
        <v>0</v>
      </c>
      <c r="F21" s="2">
        <v>825</v>
      </c>
      <c r="G21" s="2">
        <v>297</v>
      </c>
      <c r="H21" s="2">
        <v>766</v>
      </c>
      <c r="I21" s="2">
        <f t="shared" si="6"/>
        <v>1909</v>
      </c>
      <c r="J21" s="156"/>
      <c r="K21" s="3"/>
      <c r="L21" s="3"/>
      <c r="M21" s="9"/>
      <c r="N21" s="9">
        <f>IF(L21=1,0.025,0.05)</f>
        <v>0.05</v>
      </c>
      <c r="O21" s="15">
        <f>10379.57</f>
        <v>10379.57</v>
      </c>
      <c r="P21" s="15"/>
      <c r="Q21" s="15"/>
      <c r="R21" s="15"/>
      <c r="S21" s="15">
        <v>232.41</v>
      </c>
      <c r="T21" s="15">
        <v>6408.48</v>
      </c>
      <c r="U21" s="18">
        <f t="shared" si="7"/>
        <v>17020.46</v>
      </c>
      <c r="V21" s="163"/>
      <c r="W21" s="73">
        <f>ROUND(X34*V20,2)</f>
        <v>18268.43</v>
      </c>
      <c r="X21" s="30">
        <f t="shared" si="8"/>
        <v>1247.9700000000012</v>
      </c>
      <c r="Y21" s="138">
        <f>X21*Q37/100</f>
        <v>333.5861249100003</v>
      </c>
      <c r="Z21" s="16">
        <f t="shared" si="9"/>
        <v>27.8</v>
      </c>
      <c r="AA21" s="18">
        <v>483.43</v>
      </c>
      <c r="AB21" s="16" t="e">
        <f>ROUND(#REF!*0.3838,2)</f>
        <v>#REF!</v>
      </c>
      <c r="AC21" s="56" t="e">
        <f>#REF!+AB21</f>
        <v>#REF!</v>
      </c>
      <c r="AD21" s="58" t="e">
        <f t="shared" si="10"/>
        <v>#REF!</v>
      </c>
      <c r="AE21" s="138">
        <f t="shared" si="11"/>
        <v>27.8</v>
      </c>
    </row>
    <row r="22" spans="1:31" ht="23.25" customHeight="1" thickBot="1">
      <c r="A22" s="108" t="s">
        <v>71</v>
      </c>
      <c r="B22" s="147"/>
      <c r="C22" s="2">
        <v>31</v>
      </c>
      <c r="D22" s="2">
        <v>0</v>
      </c>
      <c r="E22" s="2">
        <v>11</v>
      </c>
      <c r="F22" s="2">
        <v>0</v>
      </c>
      <c r="G22" s="2">
        <v>117</v>
      </c>
      <c r="H22" s="2">
        <v>38</v>
      </c>
      <c r="I22" s="2">
        <f t="shared" si="6"/>
        <v>197</v>
      </c>
      <c r="J22" s="156"/>
      <c r="K22" s="3"/>
      <c r="L22" s="3">
        <v>1</v>
      </c>
      <c r="M22" s="9"/>
      <c r="N22" s="9">
        <f>IF(L22=1,0.025,0.05)</f>
        <v>0.025</v>
      </c>
      <c r="O22" s="15">
        <f>10379.57</f>
        <v>10379.57</v>
      </c>
      <c r="P22" s="15"/>
      <c r="Q22" s="15">
        <f>(O22)*N22</f>
        <v>259.48925</v>
      </c>
      <c r="R22" s="15"/>
      <c r="S22" s="15"/>
      <c r="T22" s="15">
        <v>6408.48</v>
      </c>
      <c r="U22" s="18">
        <f t="shared" si="7"/>
        <v>17047.53925</v>
      </c>
      <c r="V22" s="155"/>
      <c r="W22" s="73">
        <f>ROUND(X34*V20,2)</f>
        <v>18268.43</v>
      </c>
      <c r="X22" s="30">
        <f t="shared" si="8"/>
        <v>1220.8907499999987</v>
      </c>
      <c r="Y22" s="138">
        <f>X22*Q37/100</f>
        <v>326.34776014724963</v>
      </c>
      <c r="Z22" s="16">
        <f t="shared" si="9"/>
        <v>27.2</v>
      </c>
      <c r="AA22" s="18">
        <v>472.96</v>
      </c>
      <c r="AB22" s="16" t="e">
        <f>ROUND(#REF!*0.3838,2)</f>
        <v>#REF!</v>
      </c>
      <c r="AC22" s="56" t="e">
        <f>#REF!+AB22</f>
        <v>#REF!</v>
      </c>
      <c r="AD22" s="58" t="e">
        <f t="shared" si="10"/>
        <v>#REF!</v>
      </c>
      <c r="AE22" s="138">
        <f t="shared" si="11"/>
        <v>27.2</v>
      </c>
    </row>
    <row r="23" spans="1:31" ht="27.75" customHeight="1" thickBot="1">
      <c r="A23" s="109" t="s">
        <v>72</v>
      </c>
      <c r="B23" s="110" t="s">
        <v>30</v>
      </c>
      <c r="C23" s="2">
        <v>77</v>
      </c>
      <c r="D23" s="2">
        <v>45</v>
      </c>
      <c r="E23" s="2">
        <v>0</v>
      </c>
      <c r="F23" s="2">
        <v>211</v>
      </c>
      <c r="G23" s="2">
        <v>335</v>
      </c>
      <c r="H23" s="2">
        <v>2345</v>
      </c>
      <c r="I23" s="2">
        <f t="shared" si="6"/>
        <v>3013</v>
      </c>
      <c r="J23" s="13" t="s">
        <v>9</v>
      </c>
      <c r="K23" s="3"/>
      <c r="L23" s="3"/>
      <c r="M23" s="9"/>
      <c r="N23" s="9"/>
      <c r="O23" s="15">
        <f>10379.57</f>
        <v>10379.57</v>
      </c>
      <c r="P23" s="15"/>
      <c r="Q23" s="15"/>
      <c r="R23" s="15"/>
      <c r="S23" s="15"/>
      <c r="T23" s="15">
        <v>6408.48</v>
      </c>
      <c r="U23" s="18">
        <f t="shared" si="7"/>
        <v>16788.05</v>
      </c>
      <c r="V23" s="81">
        <v>120.25</v>
      </c>
      <c r="W23" s="73">
        <f>ROUND(X34*V23,2)</f>
        <v>17932.88</v>
      </c>
      <c r="X23" s="30">
        <f t="shared" si="8"/>
        <v>1144.8300000000017</v>
      </c>
      <c r="Y23" s="138">
        <f>X23*Q37/100</f>
        <v>306.01649349000047</v>
      </c>
      <c r="Z23" s="16">
        <f t="shared" si="9"/>
        <v>25.5</v>
      </c>
      <c r="AA23" s="18">
        <v>443.54</v>
      </c>
      <c r="AB23" s="16" t="e">
        <f>ROUND(#REF!*0.3838,2)</f>
        <v>#REF!</v>
      </c>
      <c r="AC23" s="56" t="e">
        <f>#REF!+AB23</f>
        <v>#REF!</v>
      </c>
      <c r="AD23" s="58" t="e">
        <f t="shared" si="10"/>
        <v>#REF!</v>
      </c>
      <c r="AE23" s="138">
        <f t="shared" si="11"/>
        <v>25.5</v>
      </c>
    </row>
    <row r="24" spans="1:31" ht="21.75" customHeight="1" thickBot="1">
      <c r="A24" s="94" t="s">
        <v>15</v>
      </c>
      <c r="B24" s="110" t="s">
        <v>15</v>
      </c>
      <c r="C24" s="2">
        <v>346</v>
      </c>
      <c r="D24" s="2">
        <v>2340</v>
      </c>
      <c r="E24" s="2">
        <v>650</v>
      </c>
      <c r="F24" s="2">
        <v>6821</v>
      </c>
      <c r="G24" s="2">
        <v>5624</v>
      </c>
      <c r="H24" s="2">
        <v>6085</v>
      </c>
      <c r="I24" s="2">
        <f t="shared" si="6"/>
        <v>21866</v>
      </c>
      <c r="J24" s="156" t="s">
        <v>7</v>
      </c>
      <c r="K24" s="3">
        <v>1</v>
      </c>
      <c r="L24" s="3"/>
      <c r="M24" s="9">
        <f>IF(K24=1,0.025,0.05)</f>
        <v>0.025</v>
      </c>
      <c r="N24" s="9"/>
      <c r="O24" s="15">
        <f>9675.07</f>
        <v>9675.07</v>
      </c>
      <c r="P24" s="15">
        <f>(O24)*M24</f>
        <v>241.87675000000002</v>
      </c>
      <c r="Q24" s="15"/>
      <c r="R24" s="15"/>
      <c r="S24" s="15"/>
      <c r="T24" s="15">
        <v>6371.04</v>
      </c>
      <c r="U24" s="18">
        <f t="shared" si="7"/>
        <v>16287.98675</v>
      </c>
      <c r="V24" s="81">
        <v>116.25</v>
      </c>
      <c r="W24" s="73">
        <f>ROUND(X34*V24,2)</f>
        <v>17336.36</v>
      </c>
      <c r="X24" s="30">
        <f t="shared" si="8"/>
        <v>1048.3732500000006</v>
      </c>
      <c r="Y24" s="138">
        <f>X24*Q37/100</f>
        <v>280.2333148447501</v>
      </c>
      <c r="Z24" s="16">
        <f t="shared" si="9"/>
        <v>23.35</v>
      </c>
      <c r="AA24" s="18">
        <v>406.22</v>
      </c>
      <c r="AB24" s="16" t="e">
        <f>ROUND(#REF!*0.3838,2)</f>
        <v>#REF!</v>
      </c>
      <c r="AC24" s="56" t="e">
        <f>#REF!+AB24</f>
        <v>#REF!</v>
      </c>
      <c r="AD24" s="58" t="e">
        <f t="shared" si="10"/>
        <v>#REF!</v>
      </c>
      <c r="AE24" s="138">
        <f t="shared" si="11"/>
        <v>23.35</v>
      </c>
    </row>
    <row r="25" spans="1:31" ht="18.75" customHeight="1" thickBot="1">
      <c r="A25" s="103" t="s">
        <v>73</v>
      </c>
      <c r="B25" s="146" t="s">
        <v>31</v>
      </c>
      <c r="C25" s="2">
        <v>4</v>
      </c>
      <c r="D25" s="2">
        <v>0</v>
      </c>
      <c r="E25" s="2">
        <v>5135</v>
      </c>
      <c r="F25" s="2">
        <v>2081</v>
      </c>
      <c r="G25" s="2">
        <v>7307</v>
      </c>
      <c r="H25" s="2">
        <v>2235</v>
      </c>
      <c r="I25" s="2">
        <f t="shared" si="6"/>
        <v>16762</v>
      </c>
      <c r="J25" s="156"/>
      <c r="K25" s="3"/>
      <c r="L25" s="3"/>
      <c r="M25" s="9"/>
      <c r="N25" s="9"/>
      <c r="O25" s="15">
        <f>9675.07</f>
        <v>9675.07</v>
      </c>
      <c r="P25" s="15"/>
      <c r="Q25" s="15"/>
      <c r="R25" s="15">
        <v>191.09</v>
      </c>
      <c r="S25" s="15"/>
      <c r="T25" s="15">
        <v>6371.04</v>
      </c>
      <c r="U25" s="18">
        <f t="shared" si="7"/>
        <v>16237.2</v>
      </c>
      <c r="V25" s="154">
        <v>112.5</v>
      </c>
      <c r="W25" s="14">
        <f>ROUND(X34*V25,2)</f>
        <v>16777.13</v>
      </c>
      <c r="X25" s="30">
        <f t="shared" si="8"/>
        <v>539.9300000000003</v>
      </c>
      <c r="Y25" s="138">
        <f>X25*Q37/100</f>
        <v>144.32490879000008</v>
      </c>
      <c r="Z25" s="16">
        <f t="shared" si="9"/>
        <v>12.03</v>
      </c>
      <c r="AA25" s="18">
        <v>195.2</v>
      </c>
      <c r="AB25" s="16" t="e">
        <f>ROUND(#REF!*0.3838,2)</f>
        <v>#REF!</v>
      </c>
      <c r="AC25" s="56" t="e">
        <f>#REF!+AB25</f>
        <v>#REF!</v>
      </c>
      <c r="AD25" s="58" t="e">
        <f t="shared" si="10"/>
        <v>#REF!</v>
      </c>
      <c r="AE25" s="138">
        <f t="shared" si="11"/>
        <v>12.03</v>
      </c>
    </row>
    <row r="26" spans="1:31" ht="18.75" customHeight="1" thickBot="1">
      <c r="A26" s="104" t="s">
        <v>74</v>
      </c>
      <c r="B26" s="147"/>
      <c r="C26" s="5">
        <v>626</v>
      </c>
      <c r="D26" s="5">
        <v>1445</v>
      </c>
      <c r="E26" s="5">
        <v>4201</v>
      </c>
      <c r="F26" s="5">
        <v>2945</v>
      </c>
      <c r="G26" s="5">
        <v>4477</v>
      </c>
      <c r="H26" s="5">
        <v>2748</v>
      </c>
      <c r="I26" s="5">
        <f t="shared" si="6"/>
        <v>16442</v>
      </c>
      <c r="J26" s="157"/>
      <c r="K26" s="7"/>
      <c r="L26" s="7"/>
      <c r="M26" s="11"/>
      <c r="N26" s="11"/>
      <c r="O26" s="14">
        <f>9675.07</f>
        <v>9675.07</v>
      </c>
      <c r="P26" s="14"/>
      <c r="Q26" s="14"/>
      <c r="R26" s="14"/>
      <c r="S26" s="14"/>
      <c r="T26" s="15">
        <v>6371.04</v>
      </c>
      <c r="U26" s="18">
        <f t="shared" si="7"/>
        <v>16046.11</v>
      </c>
      <c r="V26" s="160"/>
      <c r="W26" s="14">
        <f>ROUND(X34*V25,2)</f>
        <v>16777.13</v>
      </c>
      <c r="X26" s="34">
        <f t="shared" si="8"/>
        <v>731.0200000000004</v>
      </c>
      <c r="Y26" s="138">
        <f>X26*Q37/100</f>
        <v>195.4038390600001</v>
      </c>
      <c r="Z26" s="16">
        <f t="shared" si="9"/>
        <v>16.28</v>
      </c>
      <c r="AA26" s="18">
        <v>269.08</v>
      </c>
      <c r="AB26" s="16" t="e">
        <f>ROUND(#REF!*0.3838,2)</f>
        <v>#REF!</v>
      </c>
      <c r="AC26" s="59" t="e">
        <f>#REF!+AB26</f>
        <v>#REF!</v>
      </c>
      <c r="AD26" s="58" t="e">
        <f t="shared" si="10"/>
        <v>#REF!</v>
      </c>
      <c r="AE26" s="138">
        <f t="shared" si="11"/>
        <v>16.28</v>
      </c>
    </row>
    <row r="27" spans="2:31" ht="25.5" customHeight="1" thickBot="1">
      <c r="B27" s="105" t="s">
        <v>20</v>
      </c>
      <c r="C27" s="33"/>
      <c r="D27" s="33"/>
      <c r="E27" s="27"/>
      <c r="F27" s="27"/>
      <c r="G27" s="33"/>
      <c r="H27" s="33"/>
      <c r="I27" s="27"/>
      <c r="J27" s="8"/>
      <c r="K27" s="8"/>
      <c r="L27" s="8"/>
      <c r="M27" s="8"/>
      <c r="N27" s="8"/>
      <c r="O27" s="20"/>
      <c r="P27" s="20"/>
      <c r="Q27" s="20"/>
      <c r="R27" s="20"/>
      <c r="S27" s="20"/>
      <c r="T27" s="20"/>
      <c r="U27" s="21"/>
      <c r="V27" s="20"/>
      <c r="W27" s="62"/>
      <c r="X27" s="19"/>
      <c r="Y27" s="139"/>
      <c r="Z27" s="20"/>
      <c r="AA27" s="21"/>
      <c r="AB27" s="20"/>
      <c r="AC27" s="20"/>
      <c r="AD27" s="21"/>
      <c r="AE27" s="139"/>
    </row>
    <row r="28" spans="1:31" ht="23.25" customHeight="1" thickBot="1">
      <c r="A28" s="109" t="s">
        <v>75</v>
      </c>
      <c r="B28" s="111" t="s">
        <v>76</v>
      </c>
      <c r="C28" s="31">
        <v>48</v>
      </c>
      <c r="D28" s="31">
        <v>4015</v>
      </c>
      <c r="E28" s="31">
        <v>0</v>
      </c>
      <c r="F28" s="31">
        <v>28</v>
      </c>
      <c r="G28" s="31">
        <v>5965</v>
      </c>
      <c r="H28" s="31">
        <v>7477</v>
      </c>
      <c r="I28" s="31">
        <f>C28+D28+E28+F28+G28+H28</f>
        <v>17533</v>
      </c>
      <c r="J28" s="28" t="s">
        <v>27</v>
      </c>
      <c r="K28" s="6">
        <v>3</v>
      </c>
      <c r="L28" s="6">
        <v>1</v>
      </c>
      <c r="M28" s="4">
        <f>IF(K28=3,0.075,0)</f>
        <v>0.075</v>
      </c>
      <c r="N28" s="10">
        <f>IF(L28=1,0.025,0.05)</f>
        <v>0.025</v>
      </c>
      <c r="O28" s="16">
        <f>8776.59</f>
        <v>8776.59</v>
      </c>
      <c r="P28" s="16">
        <f>(O28)*M28</f>
        <v>658.24425</v>
      </c>
      <c r="Q28" s="16">
        <f>(O28)*N28</f>
        <v>219.41475000000003</v>
      </c>
      <c r="R28" s="16"/>
      <c r="S28" s="16">
        <v>247.9</v>
      </c>
      <c r="T28" s="16">
        <v>6317.88</v>
      </c>
      <c r="U28" s="18">
        <f>SUM(O28:T28)</f>
        <v>16220.028999999999</v>
      </c>
      <c r="V28" s="80">
        <v>113.5</v>
      </c>
      <c r="W28" s="73">
        <f>ROUND(X34*V28,2)</f>
        <v>16926.26</v>
      </c>
      <c r="X28" s="32">
        <f>W28-U28</f>
        <v>706.2309999999998</v>
      </c>
      <c r="Y28" s="138">
        <f>X28*Q37/100</f>
        <v>188.77766499299992</v>
      </c>
      <c r="Z28" s="16">
        <f>ROUND(Y28/12,2)</f>
        <v>15.73</v>
      </c>
      <c r="AA28" s="18">
        <v>273.91</v>
      </c>
      <c r="AB28" s="16" t="e">
        <f>ROUND(#REF!*0.3838,2)</f>
        <v>#REF!</v>
      </c>
      <c r="AC28" s="55" t="e">
        <f>#REF!+AB28</f>
        <v>#REF!</v>
      </c>
      <c r="AD28" s="58" t="e">
        <f>ROUND(AC28*I28,2)</f>
        <v>#REF!</v>
      </c>
      <c r="AE28" s="138">
        <f>ROUND(Y28/12,2)</f>
        <v>15.73</v>
      </c>
    </row>
    <row r="29" spans="1:31" ht="21.75" customHeight="1" thickBot="1">
      <c r="A29" s="103" t="s">
        <v>77</v>
      </c>
      <c r="B29" s="150" t="s">
        <v>32</v>
      </c>
      <c r="C29" s="2">
        <v>32</v>
      </c>
      <c r="D29" s="2">
        <v>4994</v>
      </c>
      <c r="E29" s="2">
        <v>0</v>
      </c>
      <c r="F29" s="2">
        <v>5382</v>
      </c>
      <c r="G29" s="2">
        <v>19</v>
      </c>
      <c r="H29" s="2">
        <v>4938</v>
      </c>
      <c r="I29" s="2">
        <f>C29+D29+E29+F29+G29+H29</f>
        <v>15365</v>
      </c>
      <c r="J29" s="156" t="s">
        <v>27</v>
      </c>
      <c r="K29" s="3">
        <v>3</v>
      </c>
      <c r="L29" s="3"/>
      <c r="M29" s="1">
        <f>IF(K29=3,0.075,0)</f>
        <v>0.075</v>
      </c>
      <c r="N29" s="9"/>
      <c r="O29" s="15">
        <f>8776.59</f>
        <v>8776.59</v>
      </c>
      <c r="P29" s="15">
        <f>(O29)*M29</f>
        <v>658.24425</v>
      </c>
      <c r="Q29" s="15"/>
      <c r="R29" s="15"/>
      <c r="S29" s="15">
        <v>247.9</v>
      </c>
      <c r="T29" s="16">
        <v>6317.88</v>
      </c>
      <c r="U29" s="18">
        <f>SUM(O29:T29)</f>
        <v>16000.614249999999</v>
      </c>
      <c r="V29" s="154">
        <v>111.5</v>
      </c>
      <c r="W29" s="14">
        <f>ROUND(X34*V29,2)</f>
        <v>16628</v>
      </c>
      <c r="X29" s="30">
        <f>W29-U29</f>
        <v>627.3857500000013</v>
      </c>
      <c r="Y29" s="138">
        <f>X29*Q37/100</f>
        <v>167.70209313225033</v>
      </c>
      <c r="Z29" s="16">
        <f>ROUND(Y29/12,2)</f>
        <v>13.98</v>
      </c>
      <c r="AA29" s="18">
        <v>243.41</v>
      </c>
      <c r="AB29" s="16" t="e">
        <f>ROUND(#REF!*0.3838,2)</f>
        <v>#REF!</v>
      </c>
      <c r="AC29" s="56" t="e">
        <f>#REF!+AB29</f>
        <v>#REF!</v>
      </c>
      <c r="AD29" s="58" t="e">
        <f>ROUND(AC29*I29,2)</f>
        <v>#REF!</v>
      </c>
      <c r="AE29" s="138">
        <f>ROUND(Y29/12,2)</f>
        <v>13.98</v>
      </c>
    </row>
    <row r="30" spans="1:31" ht="23.25" customHeight="1" thickBot="1">
      <c r="A30" s="104" t="s">
        <v>78</v>
      </c>
      <c r="B30" s="151"/>
      <c r="C30" s="2">
        <v>339</v>
      </c>
      <c r="D30" s="2">
        <v>488</v>
      </c>
      <c r="E30" s="2">
        <v>0</v>
      </c>
      <c r="F30" s="2">
        <v>1398</v>
      </c>
      <c r="G30" s="2">
        <v>13616</v>
      </c>
      <c r="H30" s="2">
        <v>4694</v>
      </c>
      <c r="I30" s="2">
        <f>C30+D30+E30+F30+G30+H30</f>
        <v>20535</v>
      </c>
      <c r="J30" s="156"/>
      <c r="K30" s="3">
        <v>3</v>
      </c>
      <c r="L30" s="3"/>
      <c r="M30" s="1">
        <f>IF(K30=3,0.075,0)</f>
        <v>0.075</v>
      </c>
      <c r="N30" s="9"/>
      <c r="O30" s="15">
        <f>8776.59</f>
        <v>8776.59</v>
      </c>
      <c r="P30" s="15">
        <f>(O30)*M30</f>
        <v>658.24425</v>
      </c>
      <c r="Q30" s="15"/>
      <c r="R30" s="15"/>
      <c r="S30" s="15"/>
      <c r="T30" s="16">
        <v>6317.88</v>
      </c>
      <c r="U30" s="18">
        <f>SUM(O30:T30)</f>
        <v>15752.71425</v>
      </c>
      <c r="V30" s="155"/>
      <c r="W30" s="14">
        <f>ROUND(X34*V29,2)</f>
        <v>16628</v>
      </c>
      <c r="X30" s="30">
        <f>W30-U30</f>
        <v>875.2857499999991</v>
      </c>
      <c r="Y30" s="138">
        <f>X30*Q37/100</f>
        <v>233.96650683224976</v>
      </c>
      <c r="Z30" s="16">
        <f>ROUND(Y30/12,2)</f>
        <v>19.5</v>
      </c>
      <c r="AA30" s="18">
        <v>339.26</v>
      </c>
      <c r="AB30" s="16" t="e">
        <f>ROUND(#REF!*0.3838,2)</f>
        <v>#REF!</v>
      </c>
      <c r="AC30" s="56" t="e">
        <f>#REF!+AB30</f>
        <v>#REF!</v>
      </c>
      <c r="AD30" s="58" t="e">
        <f>ROUND(AC30*I30,2)</f>
        <v>#REF!</v>
      </c>
      <c r="AE30" s="138">
        <f>ROUND(Y30/12,2)</f>
        <v>19.5</v>
      </c>
    </row>
    <row r="31" spans="1:31" ht="24.75" customHeight="1" thickBot="1">
      <c r="A31" s="112" t="s">
        <v>33</v>
      </c>
      <c r="B31" s="113" t="s">
        <v>33</v>
      </c>
      <c r="C31" s="2">
        <v>1244</v>
      </c>
      <c r="D31" s="2">
        <v>8089</v>
      </c>
      <c r="E31" s="2">
        <v>1003</v>
      </c>
      <c r="F31" s="2">
        <v>6033</v>
      </c>
      <c r="G31" s="2">
        <v>11102</v>
      </c>
      <c r="H31" s="2">
        <v>19997</v>
      </c>
      <c r="I31" s="2">
        <f>C31+D31+E31+F31+G31+H31</f>
        <v>47468</v>
      </c>
      <c r="J31" s="13" t="s">
        <v>27</v>
      </c>
      <c r="K31" s="3">
        <v>2</v>
      </c>
      <c r="L31" s="3"/>
      <c r="M31" s="9">
        <f>IF(K31=1,0.025,0.05)</f>
        <v>0.05</v>
      </c>
      <c r="N31" s="9"/>
      <c r="O31" s="15">
        <f>8776.59</f>
        <v>8776.59</v>
      </c>
      <c r="P31" s="15">
        <f>(O31)*M31</f>
        <v>438.82950000000005</v>
      </c>
      <c r="Q31" s="15"/>
      <c r="R31" s="15"/>
      <c r="S31" s="15"/>
      <c r="T31" s="16">
        <v>6317.88</v>
      </c>
      <c r="U31" s="18">
        <f>SUM(O31:T31)</f>
        <v>15533.299500000001</v>
      </c>
      <c r="V31" s="81">
        <v>108</v>
      </c>
      <c r="W31" s="14">
        <f>ROUND(X34*V31,2)</f>
        <v>16106.04</v>
      </c>
      <c r="X31" s="30">
        <f>W31-U31</f>
        <v>572.7404999999999</v>
      </c>
      <c r="Y31" s="138">
        <f>X31*Q37/100</f>
        <v>153.09525387149998</v>
      </c>
      <c r="Z31" s="16">
        <f>ROUND(Y31/12,2)</f>
        <v>12.76</v>
      </c>
      <c r="AA31" s="18">
        <v>222.27</v>
      </c>
      <c r="AB31" s="16" t="e">
        <f>ROUND(#REF!*0.3838,2)</f>
        <v>#REF!</v>
      </c>
      <c r="AC31" s="56" t="e">
        <f>#REF!+AB31</f>
        <v>#REF!</v>
      </c>
      <c r="AD31" s="58" t="e">
        <f>ROUND(AC31*I31,2)</f>
        <v>#REF!</v>
      </c>
      <c r="AE31" s="138">
        <f>ROUND(Y31/12,2)</f>
        <v>12.76</v>
      </c>
    </row>
    <row r="32" spans="1:31" ht="18.75" customHeight="1" thickBot="1">
      <c r="A32" s="112" t="s">
        <v>21</v>
      </c>
      <c r="B32" s="113" t="s">
        <v>21</v>
      </c>
      <c r="C32" s="2">
        <v>1432</v>
      </c>
      <c r="D32" s="2">
        <v>13580</v>
      </c>
      <c r="E32" s="2">
        <v>18104</v>
      </c>
      <c r="F32" s="2">
        <v>6771</v>
      </c>
      <c r="G32" s="2">
        <v>9000</v>
      </c>
      <c r="H32" s="2">
        <v>16534</v>
      </c>
      <c r="I32" s="2">
        <f>C32+D32+E32+F32+G32+H32</f>
        <v>65421</v>
      </c>
      <c r="J32" s="13" t="s">
        <v>27</v>
      </c>
      <c r="K32" s="3">
        <v>1</v>
      </c>
      <c r="L32" s="3"/>
      <c r="M32" s="9">
        <f>IF(K32=1,0.025,0.05)</f>
        <v>0.025</v>
      </c>
      <c r="N32" s="1"/>
      <c r="O32" s="15">
        <f>8776.59</f>
        <v>8776.59</v>
      </c>
      <c r="P32" s="15">
        <f>(O32)*M32</f>
        <v>219.41475000000003</v>
      </c>
      <c r="Q32" s="15"/>
      <c r="R32" s="15"/>
      <c r="S32" s="15"/>
      <c r="T32" s="16">
        <v>6317.88</v>
      </c>
      <c r="U32" s="18">
        <f>SUM(O32:T32)</f>
        <v>15313.884750000001</v>
      </c>
      <c r="V32" s="81">
        <v>104.5</v>
      </c>
      <c r="W32" s="14">
        <f>ROUND(X34*V32,2)</f>
        <v>15584.09</v>
      </c>
      <c r="X32" s="30">
        <f>W32-U32</f>
        <v>270.20524999999907</v>
      </c>
      <c r="Y32" s="138">
        <f>X32*Q37/100</f>
        <v>72.22667394074975</v>
      </c>
      <c r="Z32" s="16">
        <f>ROUND(Y32/12,2)</f>
        <v>6.02</v>
      </c>
      <c r="AA32" s="18">
        <v>105.27</v>
      </c>
      <c r="AB32" s="16" t="e">
        <f>ROUND(#REF!*0.3838,2)</f>
        <v>#REF!</v>
      </c>
      <c r="AC32" s="56" t="e">
        <f>#REF!+AB32</f>
        <v>#REF!</v>
      </c>
      <c r="AD32" s="58" t="e">
        <f>ROUND(AC32*I32,2)</f>
        <v>#REF!</v>
      </c>
      <c r="AE32" s="138">
        <f>ROUND(Y32/12,2)</f>
        <v>6.02</v>
      </c>
    </row>
    <row r="33" spans="1:31" ht="26.25" customHeight="1">
      <c r="A33" t="s">
        <v>166</v>
      </c>
      <c r="I33" s="12"/>
      <c r="V33" s="86"/>
      <c r="W33" s="22"/>
      <c r="X33" s="19"/>
      <c r="Y33" s="139"/>
      <c r="Z33" s="22"/>
      <c r="AA33" s="22"/>
      <c r="AB33" s="22"/>
      <c r="AC33" s="20"/>
      <c r="AD33" s="61"/>
      <c r="AE33" s="139"/>
    </row>
    <row r="34" spans="1:31" ht="26.25" customHeight="1">
      <c r="A34" t="s">
        <v>167</v>
      </c>
      <c r="I34" s="12"/>
      <c r="O34" s="158"/>
      <c r="P34" s="158"/>
      <c r="Q34" s="159"/>
      <c r="R34" s="78" t="e">
        <f>#REF!</f>
        <v>#REF!</v>
      </c>
      <c r="V34" s="22"/>
      <c r="W34" s="12" t="s">
        <v>57</v>
      </c>
      <c r="X34" s="22">
        <v>149.13</v>
      </c>
      <c r="Y34" s="140"/>
      <c r="Z34" s="19"/>
      <c r="AA34" s="22"/>
      <c r="AB34" s="22"/>
      <c r="AC34" s="22"/>
      <c r="AD34" s="20"/>
      <c r="AE34" s="140"/>
    </row>
    <row r="35" spans="2:31" ht="18.75" customHeight="1">
      <c r="B35" s="92"/>
      <c r="Y35" s="92"/>
      <c r="Z35" s="8"/>
      <c r="AE35" s="92"/>
    </row>
    <row r="36" spans="2:31" ht="18.75" customHeight="1">
      <c r="B36" s="93"/>
      <c r="C36" s="23"/>
      <c r="O36" s="152" t="s">
        <v>41</v>
      </c>
      <c r="P36" s="153"/>
      <c r="Q36" t="s">
        <v>44</v>
      </c>
      <c r="R36" s="23">
        <v>142000000</v>
      </c>
      <c r="S36" s="66" t="s">
        <v>45</v>
      </c>
      <c r="U36" s="23">
        <v>638000000</v>
      </c>
      <c r="Y36" s="92"/>
      <c r="Z36" s="8"/>
      <c r="AA36" s="8"/>
      <c r="AE36" s="92"/>
    </row>
    <row r="37" spans="2:31" ht="27" customHeight="1">
      <c r="B37" s="93"/>
      <c r="C37" s="23"/>
      <c r="O37" s="67" t="s">
        <v>46</v>
      </c>
      <c r="Q37" s="68">
        <v>26.7303</v>
      </c>
      <c r="R37" s="67" t="s">
        <v>42</v>
      </c>
      <c r="S37" s="69" t="s">
        <v>43</v>
      </c>
      <c r="Y37" s="92"/>
      <c r="Z37" s="8"/>
      <c r="AA37" s="8"/>
      <c r="AE37" s="92"/>
    </row>
    <row r="38" ht="18.75" customHeight="1">
      <c r="B38" s="93"/>
    </row>
    <row r="39" ht="18.75" customHeight="1">
      <c r="B39" s="93"/>
    </row>
    <row r="40" ht="18.75" customHeight="1">
      <c r="B40" s="93"/>
    </row>
    <row r="41" ht="18.75" customHeight="1">
      <c r="B41" s="93"/>
    </row>
    <row r="42" ht="18.75" customHeight="1">
      <c r="B42" s="93"/>
    </row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</sheetData>
  <mergeCells count="45">
    <mergeCell ref="J9:J13"/>
    <mergeCell ref="J15:J16"/>
    <mergeCell ref="B15:B16"/>
    <mergeCell ref="B17:B18"/>
    <mergeCell ref="B20:B22"/>
    <mergeCell ref="C1:I1"/>
    <mergeCell ref="B10:B12"/>
    <mergeCell ref="B1:B2"/>
    <mergeCell ref="AD1:AD2"/>
    <mergeCell ref="V1:V2"/>
    <mergeCell ref="W1:W2"/>
    <mergeCell ref="X1:X2"/>
    <mergeCell ref="Z1:Z2"/>
    <mergeCell ref="AB1:AB2"/>
    <mergeCell ref="AC1:AC2"/>
    <mergeCell ref="AA1:AA2"/>
    <mergeCell ref="Y1:Y2"/>
    <mergeCell ref="M1:M2"/>
    <mergeCell ref="N1:N2"/>
    <mergeCell ref="O1:O2"/>
    <mergeCell ref="P1:P2"/>
    <mergeCell ref="A1:A2"/>
    <mergeCell ref="J1:J2"/>
    <mergeCell ref="K1:K2"/>
    <mergeCell ref="L1:L2"/>
    <mergeCell ref="V10:V12"/>
    <mergeCell ref="Q1:Q2"/>
    <mergeCell ref="R1:R2"/>
    <mergeCell ref="S1:S2"/>
    <mergeCell ref="U1:U2"/>
    <mergeCell ref="T1:T2"/>
    <mergeCell ref="J20:J22"/>
    <mergeCell ref="J17:J18"/>
    <mergeCell ref="V17:V18"/>
    <mergeCell ref="V20:V22"/>
    <mergeCell ref="AE1:AE2"/>
    <mergeCell ref="B25:B26"/>
    <mergeCell ref="B29:B30"/>
    <mergeCell ref="O36:P36"/>
    <mergeCell ref="V29:V30"/>
    <mergeCell ref="J24:J26"/>
    <mergeCell ref="J29:J30"/>
    <mergeCell ref="O34:Q34"/>
    <mergeCell ref="V15:V16"/>
    <mergeCell ref="V25:V26"/>
  </mergeCells>
  <printOptions horizontalCentered="1" verticalCentered="1"/>
  <pageMargins left="0.6299212598425197" right="0.5118110236220472" top="2.18" bottom="0.5118110236220472" header="0.3937007874015748" footer="0.5118110236220472"/>
  <pageSetup fitToHeight="1" fitToWidth="1" horizontalDpi="600" verticalDpi="600" orientation="portrait" paperSize="8" scale="64" r:id="rId1"/>
  <headerFooter alignWithMargins="0">
    <oddHeader>&amp;L&amp;9
&amp;C&amp;28&amp;UTABELLA A1
ANTICIPAZIONI ANNO 2003
PERSONALE DELLE FORZE DI POLIZIA AD ORDINAMENTO CIVILE
&amp;18(Art. 5 comma 1)&amp;R
</oddHeader>
    <oddFooter>&amp;L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1">
    <pageSetUpPr fitToPage="1"/>
  </sheetPr>
  <dimension ref="A1:AG42"/>
  <sheetViews>
    <sheetView workbookViewId="0" topLeftCell="B1">
      <selection activeCell="AC8" sqref="AC8"/>
    </sheetView>
  </sheetViews>
  <sheetFormatPr defaultColWidth="9.140625" defaultRowHeight="12.75"/>
  <cols>
    <col min="1" max="1" width="72.28125" style="0" customWidth="1"/>
    <col min="2" max="2" width="60.28125" style="0" customWidth="1"/>
    <col min="3" max="3" width="13.8515625" style="0" hidden="1" customWidth="1"/>
    <col min="4" max="4" width="9.8515625" style="0" hidden="1" customWidth="1"/>
    <col min="5" max="5" width="10.8515625" style="0" hidden="1" customWidth="1"/>
    <col min="6" max="6" width="11.7109375" style="0" hidden="1" customWidth="1"/>
    <col min="7" max="7" width="10.28125" style="0" hidden="1" customWidth="1"/>
    <col min="8" max="8" width="12.57421875" style="0" hidden="1" customWidth="1"/>
    <col min="9" max="9" width="16.57421875" style="0" hidden="1" customWidth="1"/>
    <col min="10" max="10" width="6.57421875" style="0" hidden="1" customWidth="1"/>
    <col min="11" max="11" width="4.8515625" style="0" hidden="1" customWidth="1"/>
    <col min="12" max="12" width="5.00390625" style="0" hidden="1" customWidth="1"/>
    <col min="13" max="13" width="5.8515625" style="0" hidden="1" customWidth="1"/>
    <col min="14" max="14" width="6.28125" style="0" hidden="1" customWidth="1"/>
    <col min="15" max="15" width="11.57421875" style="0" hidden="1" customWidth="1"/>
    <col min="16" max="16" width="11.421875" style="0" hidden="1" customWidth="1"/>
    <col min="17" max="17" width="10.140625" style="0" hidden="1" customWidth="1"/>
    <col min="18" max="18" width="15.7109375" style="0" hidden="1" customWidth="1"/>
    <col min="19" max="19" width="15.8515625" style="0" hidden="1" customWidth="1"/>
    <col min="20" max="20" width="12.28125" style="0" hidden="1" customWidth="1"/>
    <col min="21" max="21" width="15.57421875" style="0" hidden="1" customWidth="1"/>
    <col min="22" max="22" width="15.8515625" style="23" hidden="1" customWidth="1"/>
    <col min="23" max="23" width="14.57421875" style="0" hidden="1" customWidth="1"/>
    <col min="24" max="24" width="13.7109375" style="8" hidden="1" customWidth="1"/>
    <col min="25" max="25" width="22.421875" style="141" hidden="1" customWidth="1"/>
    <col min="26" max="26" width="15.00390625" style="0" hidden="1" customWidth="1"/>
    <col min="27" max="27" width="22.7109375" style="93" hidden="1" customWidth="1"/>
    <col min="28" max="28" width="23.00390625" style="0" hidden="1" customWidth="1"/>
    <col min="29" max="29" width="23.00390625" style="0" customWidth="1"/>
    <col min="30" max="30" width="15.57421875" style="0" hidden="1" customWidth="1"/>
    <col min="31" max="31" width="15.421875" style="0" hidden="1" customWidth="1"/>
    <col min="32" max="32" width="22.00390625" style="0" hidden="1" customWidth="1"/>
    <col min="33" max="33" width="21.57421875" style="141" hidden="1" customWidth="1"/>
  </cols>
  <sheetData>
    <row r="1" spans="1:33" ht="51" customHeight="1">
      <c r="A1" s="186" t="s">
        <v>79</v>
      </c>
      <c r="B1" s="188" t="s">
        <v>80</v>
      </c>
      <c r="C1" s="180"/>
      <c r="D1" s="180"/>
      <c r="E1" s="180"/>
      <c r="F1" s="180"/>
      <c r="G1" s="180"/>
      <c r="H1" s="180"/>
      <c r="I1" s="180"/>
      <c r="J1" s="174" t="s">
        <v>0</v>
      </c>
      <c r="K1" s="174" t="s">
        <v>1</v>
      </c>
      <c r="L1" s="174" t="s">
        <v>2</v>
      </c>
      <c r="M1" s="175"/>
      <c r="N1" s="161"/>
      <c r="O1" s="167" t="s">
        <v>3</v>
      </c>
      <c r="P1" s="167" t="s">
        <v>4</v>
      </c>
      <c r="Q1" s="167" t="s">
        <v>5</v>
      </c>
      <c r="R1" s="167" t="s">
        <v>18</v>
      </c>
      <c r="S1" s="169" t="s">
        <v>19</v>
      </c>
      <c r="T1" s="170" t="s">
        <v>53</v>
      </c>
      <c r="U1" s="167" t="s">
        <v>22</v>
      </c>
      <c r="V1" s="177" t="s">
        <v>37</v>
      </c>
      <c r="W1" s="167" t="s">
        <v>51</v>
      </c>
      <c r="X1" s="167" t="s">
        <v>52</v>
      </c>
      <c r="Y1" s="148" t="s">
        <v>168</v>
      </c>
      <c r="Z1" s="170" t="s">
        <v>23</v>
      </c>
      <c r="AA1" s="148" t="s">
        <v>169</v>
      </c>
      <c r="AB1" s="148" t="s">
        <v>170</v>
      </c>
      <c r="AC1" s="148" t="s">
        <v>171</v>
      </c>
      <c r="AD1" s="167" t="s">
        <v>24</v>
      </c>
      <c r="AE1" s="167" t="s">
        <v>25</v>
      </c>
      <c r="AF1" s="167" t="s">
        <v>50</v>
      </c>
      <c r="AG1" s="148" t="s">
        <v>145</v>
      </c>
    </row>
    <row r="2" spans="1:33" ht="102" customHeight="1" thickBot="1">
      <c r="A2" s="187"/>
      <c r="B2" s="189"/>
      <c r="C2" s="43" t="s">
        <v>34</v>
      </c>
      <c r="D2" s="43" t="s">
        <v>35</v>
      </c>
      <c r="E2" s="43" t="s">
        <v>36</v>
      </c>
      <c r="F2" s="43" t="s">
        <v>54</v>
      </c>
      <c r="G2" s="43" t="s">
        <v>38</v>
      </c>
      <c r="H2" s="43" t="s">
        <v>39</v>
      </c>
      <c r="I2" s="39" t="s">
        <v>55</v>
      </c>
      <c r="J2" s="157"/>
      <c r="K2" s="157"/>
      <c r="L2" s="157"/>
      <c r="M2" s="176"/>
      <c r="N2" s="157"/>
      <c r="O2" s="168"/>
      <c r="P2" s="168"/>
      <c r="Q2" s="168"/>
      <c r="R2" s="168"/>
      <c r="S2" s="168"/>
      <c r="T2" s="171"/>
      <c r="U2" s="168"/>
      <c r="V2" s="178"/>
      <c r="W2" s="168"/>
      <c r="X2" s="168"/>
      <c r="Y2" s="149"/>
      <c r="Z2" s="190"/>
      <c r="AA2" s="149"/>
      <c r="AB2" s="149"/>
      <c r="AC2" s="171"/>
      <c r="AD2" s="168"/>
      <c r="AE2" s="168"/>
      <c r="AF2" s="168"/>
      <c r="AG2" s="149"/>
    </row>
    <row r="3" spans="2:33" ht="33" customHeight="1" thickBot="1">
      <c r="B3" s="38" t="s">
        <v>111</v>
      </c>
      <c r="C3" s="40"/>
      <c r="D3" s="40"/>
      <c r="E3" s="40"/>
      <c r="F3" s="40"/>
      <c r="G3" s="40"/>
      <c r="H3" s="40"/>
      <c r="I3" s="38"/>
      <c r="J3" s="41"/>
      <c r="K3" s="41"/>
      <c r="L3" s="41"/>
      <c r="M3" s="41"/>
      <c r="N3" s="41"/>
      <c r="O3" s="42"/>
      <c r="P3" s="42"/>
      <c r="Q3" s="42"/>
      <c r="R3" s="42"/>
      <c r="S3" s="42"/>
      <c r="T3" s="42"/>
      <c r="U3" s="42"/>
      <c r="V3" s="85"/>
      <c r="W3" s="76"/>
      <c r="X3" s="25"/>
      <c r="Z3" s="8"/>
      <c r="AA3" s="142"/>
      <c r="AB3" s="131"/>
      <c r="AC3" s="131"/>
      <c r="AD3" s="8"/>
      <c r="AE3" s="8"/>
      <c r="AF3" s="8"/>
      <c r="AG3" s="135"/>
    </row>
    <row r="4" spans="1:33" ht="28.5" customHeight="1" thickBot="1">
      <c r="A4" s="114" t="s">
        <v>144</v>
      </c>
      <c r="B4" s="114" t="s">
        <v>143</v>
      </c>
      <c r="C4" s="31">
        <v>141</v>
      </c>
      <c r="D4" s="31">
        <v>3</v>
      </c>
      <c r="E4" s="31">
        <v>0</v>
      </c>
      <c r="F4" s="31">
        <v>65</v>
      </c>
      <c r="G4" s="31">
        <v>13</v>
      </c>
      <c r="H4" s="31">
        <v>920</v>
      </c>
      <c r="I4" s="36">
        <f>C4+D4+E4+F4+G4+H4</f>
        <v>1142</v>
      </c>
      <c r="J4" s="28" t="s">
        <v>16</v>
      </c>
      <c r="K4" s="6"/>
      <c r="L4" s="6"/>
      <c r="M4" s="10"/>
      <c r="N4" s="10"/>
      <c r="O4" s="16">
        <f>14437.35</f>
        <v>14437.35</v>
      </c>
      <c r="P4" s="16"/>
      <c r="Q4" s="16"/>
      <c r="R4" s="16"/>
      <c r="S4" s="16"/>
      <c r="T4" s="16">
        <v>6641.4</v>
      </c>
      <c r="U4" s="18">
        <f>SUM(O4:T4)</f>
        <v>21078.75</v>
      </c>
      <c r="V4" s="80">
        <v>151</v>
      </c>
      <c r="W4" s="73">
        <f>ROUND(X34*V4,2)</f>
        <v>22518.74</v>
      </c>
      <c r="X4" s="32">
        <f>W4-U4</f>
        <v>1439.9900000000016</v>
      </c>
      <c r="Y4" s="138">
        <f>X4*Q37/100</f>
        <v>384.8834071800004</v>
      </c>
      <c r="Z4" s="16">
        <f>ROUND(Y4/12,2)</f>
        <v>32.07</v>
      </c>
      <c r="AA4" s="18">
        <v>138.01</v>
      </c>
      <c r="AB4" s="18">
        <f>ROUND(Y4+Z4,2)</f>
        <v>416.95</v>
      </c>
      <c r="AC4" s="18">
        <v>500.18</v>
      </c>
      <c r="AD4" s="16">
        <f>ROUND(AB4*0.3838,2)</f>
        <v>160.03</v>
      </c>
      <c r="AE4" s="55">
        <f>AB4+AD4</f>
        <v>576.98</v>
      </c>
      <c r="AF4" s="58">
        <f>ROUND(AE4*I4,2)</f>
        <v>658911.16</v>
      </c>
      <c r="AG4" s="138">
        <f>ROUND(Y4/12,2)</f>
        <v>32.07</v>
      </c>
    </row>
    <row r="5" spans="1:33" ht="17.25" customHeight="1" thickBot="1">
      <c r="A5" s="94" t="s">
        <v>81</v>
      </c>
      <c r="B5" s="94" t="s">
        <v>81</v>
      </c>
      <c r="C5" s="2">
        <v>15</v>
      </c>
      <c r="D5" s="2">
        <v>1</v>
      </c>
      <c r="E5" s="2">
        <v>5981</v>
      </c>
      <c r="F5" s="2">
        <v>755</v>
      </c>
      <c r="G5" s="2">
        <v>490</v>
      </c>
      <c r="H5" s="2">
        <v>773</v>
      </c>
      <c r="I5" s="35">
        <f>C5+D5+E5+F5+G5+H5</f>
        <v>8015</v>
      </c>
      <c r="J5" s="13" t="s">
        <v>17</v>
      </c>
      <c r="K5" s="3">
        <v>1</v>
      </c>
      <c r="L5" s="3"/>
      <c r="M5" s="9">
        <f>IF(K5=1,0.025,0.05)</f>
        <v>0.025</v>
      </c>
      <c r="N5" s="9"/>
      <c r="O5" s="15">
        <f>12643.32</f>
        <v>12643.32</v>
      </c>
      <c r="P5" s="15">
        <f>(O5)*M5</f>
        <v>316.083</v>
      </c>
      <c r="Q5" s="15"/>
      <c r="R5" s="15"/>
      <c r="S5" s="15"/>
      <c r="T5" s="15">
        <v>6545.28</v>
      </c>
      <c r="U5" s="18">
        <f>SUM(O5:T5)</f>
        <v>19504.683</v>
      </c>
      <c r="V5" s="81">
        <v>145</v>
      </c>
      <c r="W5" s="14">
        <f>ROUND(X34*V5,2)</f>
        <v>21623.95</v>
      </c>
      <c r="X5" s="30">
        <f>W5-U5</f>
        <v>2119.267</v>
      </c>
      <c r="Y5" s="138">
        <f>X5*Q37/100</f>
        <v>566.4419222939999</v>
      </c>
      <c r="Z5" s="16">
        <f>ROUND(Y5/12,2)</f>
        <v>47.2</v>
      </c>
      <c r="AA5" s="18">
        <v>203.11</v>
      </c>
      <c r="AB5" s="18">
        <f>ROUND(Y5+Z5,2)</f>
        <v>613.64</v>
      </c>
      <c r="AC5" s="18">
        <v>791.59</v>
      </c>
      <c r="AD5" s="16">
        <f>ROUND(AB5*0.3838,2)</f>
        <v>235.52</v>
      </c>
      <c r="AE5" s="56">
        <f>AB5+AD5</f>
        <v>849.16</v>
      </c>
      <c r="AF5" s="58">
        <f>ROUND(AE5*I5,2)</f>
        <v>6806017.4</v>
      </c>
      <c r="AG5" s="138">
        <f>ROUND(Y5/12,2)</f>
        <v>47.2</v>
      </c>
    </row>
    <row r="6" spans="1:33" ht="17.25" customHeight="1" thickBot="1">
      <c r="A6" s="94" t="s">
        <v>82</v>
      </c>
      <c r="B6" s="94" t="s">
        <v>82</v>
      </c>
      <c r="C6" s="2">
        <v>0</v>
      </c>
      <c r="D6" s="2">
        <v>6</v>
      </c>
      <c r="E6" s="2">
        <v>3460</v>
      </c>
      <c r="F6" s="2">
        <v>383</v>
      </c>
      <c r="G6" s="2">
        <v>752</v>
      </c>
      <c r="H6" s="2">
        <v>0</v>
      </c>
      <c r="I6" s="35">
        <f>C6+D6+E6+F6+G6+H6</f>
        <v>4601</v>
      </c>
      <c r="J6" s="13" t="s">
        <v>17</v>
      </c>
      <c r="K6" s="3"/>
      <c r="L6" s="3"/>
      <c r="M6" s="9"/>
      <c r="N6" s="9"/>
      <c r="O6" s="15">
        <f>12643.32</f>
        <v>12643.32</v>
      </c>
      <c r="P6" s="15"/>
      <c r="Q6" s="15"/>
      <c r="R6" s="15"/>
      <c r="S6" s="15"/>
      <c r="T6" s="15">
        <v>6545.28</v>
      </c>
      <c r="U6" s="18">
        <f>SUM(O6:T6)</f>
        <v>19188.6</v>
      </c>
      <c r="V6" s="81">
        <v>139</v>
      </c>
      <c r="W6" s="14">
        <f>ROUND(X34*V6,2)</f>
        <v>20729.17</v>
      </c>
      <c r="X6" s="30">
        <f>W6-U6</f>
        <v>1540.5699999999997</v>
      </c>
      <c r="Y6" s="138">
        <f>X6*Q37/100</f>
        <v>411.76663074</v>
      </c>
      <c r="Z6" s="16">
        <f>ROUND(Y6/12,2)</f>
        <v>34.31</v>
      </c>
      <c r="AA6" s="18">
        <v>147.65</v>
      </c>
      <c r="AB6" s="18">
        <f>ROUND(Y6+Z6,2)</f>
        <v>446.08</v>
      </c>
      <c r="AC6" s="18">
        <v>596.64</v>
      </c>
      <c r="AD6" s="16">
        <f>ROUND(AB6*0.3838,2)</f>
        <v>171.21</v>
      </c>
      <c r="AE6" s="56">
        <f>AB6+AD6</f>
        <v>617.29</v>
      </c>
      <c r="AF6" s="58">
        <f>ROUND(AE6*I6,2)</f>
        <v>2840151.29</v>
      </c>
      <c r="AG6" s="138">
        <f>ROUND(Y6/12,2)</f>
        <v>34.31</v>
      </c>
    </row>
    <row r="7" spans="1:33" ht="17.25" customHeight="1" thickBot="1">
      <c r="A7" s="94" t="s">
        <v>83</v>
      </c>
      <c r="B7" s="94" t="s">
        <v>83</v>
      </c>
      <c r="C7" s="5">
        <v>0</v>
      </c>
      <c r="D7" s="5">
        <v>45</v>
      </c>
      <c r="E7" s="5">
        <v>1359</v>
      </c>
      <c r="F7" s="5">
        <v>105</v>
      </c>
      <c r="G7" s="5">
        <v>390</v>
      </c>
      <c r="H7" s="5">
        <v>0</v>
      </c>
      <c r="I7" s="37">
        <f>C7+D7+E7+F7+G7+H7</f>
        <v>1899</v>
      </c>
      <c r="J7" s="45" t="s">
        <v>8</v>
      </c>
      <c r="K7" s="46"/>
      <c r="L7" s="46"/>
      <c r="M7" s="47"/>
      <c r="N7" s="47"/>
      <c r="O7" s="48">
        <f>11861.89</f>
        <v>11861.89</v>
      </c>
      <c r="P7" s="48"/>
      <c r="Q7" s="48"/>
      <c r="R7" s="48"/>
      <c r="S7" s="48"/>
      <c r="T7" s="14">
        <v>6495.48</v>
      </c>
      <c r="U7" s="71">
        <f>SUM(O7:T7)</f>
        <v>18357.37</v>
      </c>
      <c r="V7" s="82">
        <v>133.25</v>
      </c>
      <c r="W7" s="14">
        <f>ROUND(X34*V7,2)</f>
        <v>19871.67</v>
      </c>
      <c r="X7" s="34">
        <f>W7-U7</f>
        <v>1514.2999999999993</v>
      </c>
      <c r="Y7" s="138">
        <f>X7*Q37/100</f>
        <v>404.74513259999986</v>
      </c>
      <c r="Z7" s="16">
        <f>ROUND(Y7/12,2)</f>
        <v>33.73</v>
      </c>
      <c r="AA7" s="18">
        <v>145.13</v>
      </c>
      <c r="AB7" s="18">
        <f>ROUND(Y7+Z7,2)</f>
        <v>438.48</v>
      </c>
      <c r="AC7" s="18">
        <v>586.44</v>
      </c>
      <c r="AD7" s="16">
        <f>ROUND(AB7*0.3838,2)</f>
        <v>168.29</v>
      </c>
      <c r="AE7" s="57">
        <f>AB7+AD7</f>
        <v>606.77</v>
      </c>
      <c r="AF7" s="58">
        <f>ROUND(AE7*I7,2)</f>
        <v>1152256.23</v>
      </c>
      <c r="AG7" s="138">
        <f>ROUND(Y7/12,2)</f>
        <v>33.73</v>
      </c>
    </row>
    <row r="8" spans="2:33" ht="33" customHeight="1" thickBot="1">
      <c r="B8" s="29" t="s">
        <v>13</v>
      </c>
      <c r="C8" s="26"/>
      <c r="D8" s="26"/>
      <c r="E8" s="27"/>
      <c r="F8" s="27"/>
      <c r="G8" s="26"/>
      <c r="H8" s="26"/>
      <c r="I8" s="27"/>
      <c r="J8" s="24"/>
      <c r="K8" s="52"/>
      <c r="L8" s="52"/>
      <c r="M8" s="53"/>
      <c r="N8" s="53"/>
      <c r="O8" s="54"/>
      <c r="P8" s="54"/>
      <c r="Q8" s="54"/>
      <c r="R8" s="54"/>
      <c r="S8" s="54"/>
      <c r="T8" s="62"/>
      <c r="U8" s="72"/>
      <c r="V8" s="62"/>
      <c r="W8" s="62"/>
      <c r="X8" s="75"/>
      <c r="Y8" s="139"/>
      <c r="Z8" s="20"/>
      <c r="AA8" s="21"/>
      <c r="AB8" s="21"/>
      <c r="AC8" s="21"/>
      <c r="AD8" s="20"/>
      <c r="AE8" s="20"/>
      <c r="AF8" s="21"/>
      <c r="AG8" s="139"/>
    </row>
    <row r="9" spans="1:33" ht="37.5" customHeight="1" thickBot="1">
      <c r="A9" s="114" t="s">
        <v>153</v>
      </c>
      <c r="B9" s="115" t="s">
        <v>153</v>
      </c>
      <c r="C9" s="31">
        <v>124</v>
      </c>
      <c r="D9" s="31">
        <v>115</v>
      </c>
      <c r="E9" s="31">
        <v>2564</v>
      </c>
      <c r="F9" s="31">
        <v>1871</v>
      </c>
      <c r="G9" s="31">
        <v>2396</v>
      </c>
      <c r="H9" s="31">
        <v>2670</v>
      </c>
      <c r="I9" s="36">
        <f aca="true" t="shared" si="0" ref="I9:I18">C9+D9+E9+F9+G9+H9</f>
        <v>9740</v>
      </c>
      <c r="J9" s="161" t="s">
        <v>8</v>
      </c>
      <c r="K9" s="49"/>
      <c r="L9" s="49">
        <v>2</v>
      </c>
      <c r="M9" s="49"/>
      <c r="N9" s="50">
        <f>IF(L9=1,0.025,0.05)</f>
        <v>0.05</v>
      </c>
      <c r="O9" s="51">
        <f>11861.89</f>
        <v>11861.89</v>
      </c>
      <c r="P9" s="51"/>
      <c r="Q9" s="51">
        <f>(O9)*N9</f>
        <v>593.0945</v>
      </c>
      <c r="R9" s="44"/>
      <c r="S9" s="51">
        <v>781.43</v>
      </c>
      <c r="T9" s="14">
        <v>6495.48</v>
      </c>
      <c r="U9" s="70">
        <f aca="true" t="shared" si="1" ref="U9:U18">SUM(O9:T9)</f>
        <v>19731.8945</v>
      </c>
      <c r="V9" s="83">
        <v>139</v>
      </c>
      <c r="W9" s="73">
        <f>ROUND(X34*V9,2)</f>
        <v>20729.17</v>
      </c>
      <c r="X9" s="74">
        <f aca="true" t="shared" si="2" ref="X9:X18">W9-U9</f>
        <v>997.2754999999997</v>
      </c>
      <c r="Y9" s="138">
        <f>X9*Q37/100</f>
        <v>266.55379019099996</v>
      </c>
      <c r="Z9" s="16">
        <f aca="true" t="shared" si="3" ref="Z9:Z18">ROUND(Y9/12,2)</f>
        <v>22.21</v>
      </c>
      <c r="AA9" s="18">
        <v>95.58</v>
      </c>
      <c r="AB9" s="18">
        <f aca="true" t="shared" si="4" ref="AB9:AB18">ROUND(Y9+Z9,2)</f>
        <v>288.76</v>
      </c>
      <c r="AC9" s="18">
        <v>386.6</v>
      </c>
      <c r="AD9" s="16">
        <f aca="true" t="shared" si="5" ref="AD9:AD18">ROUND(AB9*0.3838,2)</f>
        <v>110.83</v>
      </c>
      <c r="AE9" s="55">
        <f aca="true" t="shared" si="6" ref="AE9:AE18">AB9+AD9</f>
        <v>399.59</v>
      </c>
      <c r="AF9" s="58">
        <f aca="true" t="shared" si="7" ref="AF9:AF18">ROUND(AE9*I9,2)</f>
        <v>3892006.6</v>
      </c>
      <c r="AG9" s="138">
        <f aca="true" t="shared" si="8" ref="AG9:AG18">ROUND(Y9/12,2)</f>
        <v>22.21</v>
      </c>
    </row>
    <row r="10" spans="1:33" ht="39" customHeight="1" thickBot="1">
      <c r="A10" s="116" t="s">
        <v>154</v>
      </c>
      <c r="B10" s="181" t="s">
        <v>160</v>
      </c>
      <c r="C10" s="2">
        <v>246</v>
      </c>
      <c r="D10" s="2">
        <v>139</v>
      </c>
      <c r="E10" s="2">
        <v>7096</v>
      </c>
      <c r="F10" s="2">
        <v>4030</v>
      </c>
      <c r="G10" s="2">
        <v>6556</v>
      </c>
      <c r="H10" s="2">
        <v>2653</v>
      </c>
      <c r="I10" s="35">
        <f t="shared" si="0"/>
        <v>20720</v>
      </c>
      <c r="J10" s="156"/>
      <c r="K10" s="3"/>
      <c r="L10" s="3">
        <v>1</v>
      </c>
      <c r="M10" s="3"/>
      <c r="N10" s="9">
        <f>IF(L10=1,0.025,0.05)</f>
        <v>0.025</v>
      </c>
      <c r="O10" s="15">
        <f>11861.89</f>
        <v>11861.89</v>
      </c>
      <c r="P10" s="15"/>
      <c r="Q10" s="15">
        <f>(O10)*N10</f>
        <v>296.54725</v>
      </c>
      <c r="R10" s="17"/>
      <c r="S10" s="15">
        <v>781.43</v>
      </c>
      <c r="T10" s="14">
        <v>6495.48</v>
      </c>
      <c r="U10" s="18">
        <f t="shared" si="1"/>
        <v>19435.34725</v>
      </c>
      <c r="V10" s="164">
        <v>135.5</v>
      </c>
      <c r="W10" s="73">
        <f>ROUND(X34*V10,2)</f>
        <v>20207.21</v>
      </c>
      <c r="X10" s="30">
        <f t="shared" si="2"/>
        <v>771.8627500000002</v>
      </c>
      <c r="Y10" s="138">
        <f>X10*Q37/100</f>
        <v>206.30501954550007</v>
      </c>
      <c r="Z10" s="16">
        <f t="shared" si="3"/>
        <v>17.19</v>
      </c>
      <c r="AA10" s="18">
        <v>73.97</v>
      </c>
      <c r="AB10" s="18">
        <f t="shared" si="4"/>
        <v>223.5</v>
      </c>
      <c r="AC10" s="18">
        <v>299.42</v>
      </c>
      <c r="AD10" s="16">
        <f t="shared" si="5"/>
        <v>85.78</v>
      </c>
      <c r="AE10" s="56">
        <f t="shared" si="6"/>
        <v>309.28</v>
      </c>
      <c r="AF10" s="58">
        <f t="shared" si="7"/>
        <v>6408281.6</v>
      </c>
      <c r="AG10" s="138">
        <f t="shared" si="8"/>
        <v>17.19</v>
      </c>
    </row>
    <row r="11" spans="1:33" ht="37.5" customHeight="1" thickBot="1">
      <c r="A11" s="117" t="s">
        <v>155</v>
      </c>
      <c r="B11" s="182"/>
      <c r="C11" s="2">
        <v>0</v>
      </c>
      <c r="D11" s="2">
        <v>0</v>
      </c>
      <c r="E11" s="2">
        <v>3553</v>
      </c>
      <c r="F11" s="2">
        <v>0</v>
      </c>
      <c r="G11" s="2">
        <v>32</v>
      </c>
      <c r="H11" s="2">
        <v>0</v>
      </c>
      <c r="I11" s="35">
        <f t="shared" si="0"/>
        <v>3585</v>
      </c>
      <c r="J11" s="156"/>
      <c r="K11" s="3"/>
      <c r="L11" s="3"/>
      <c r="M11" s="3"/>
      <c r="N11" s="9"/>
      <c r="O11" s="15">
        <f>11861.89</f>
        <v>11861.89</v>
      </c>
      <c r="P11" s="15"/>
      <c r="Q11" s="15"/>
      <c r="R11" s="17"/>
      <c r="S11" s="15">
        <v>781.43</v>
      </c>
      <c r="T11" s="14">
        <v>6495.48</v>
      </c>
      <c r="U11" s="18">
        <f t="shared" si="1"/>
        <v>19138.8</v>
      </c>
      <c r="V11" s="165"/>
      <c r="W11" s="73">
        <f>ROUND(X34*V10,2)</f>
        <v>20207.21</v>
      </c>
      <c r="X11" s="30">
        <f t="shared" si="2"/>
        <v>1068.4099999999999</v>
      </c>
      <c r="Y11" s="138">
        <f>X11*Q37/100</f>
        <v>285.56676161999997</v>
      </c>
      <c r="Z11" s="16">
        <f t="shared" si="3"/>
        <v>23.8</v>
      </c>
      <c r="AA11" s="18">
        <v>102.4</v>
      </c>
      <c r="AB11" s="18">
        <f t="shared" si="4"/>
        <v>309.37</v>
      </c>
      <c r="AC11" s="18">
        <v>414.07</v>
      </c>
      <c r="AD11" s="16">
        <f t="shared" si="5"/>
        <v>118.74</v>
      </c>
      <c r="AE11" s="56">
        <f t="shared" si="6"/>
        <v>428.11</v>
      </c>
      <c r="AF11" s="58">
        <f t="shared" si="7"/>
        <v>1534774.35</v>
      </c>
      <c r="AG11" s="138">
        <f t="shared" si="8"/>
        <v>23.8</v>
      </c>
    </row>
    <row r="12" spans="1:33" ht="35.25" customHeight="1" thickBot="1">
      <c r="A12" s="118" t="s">
        <v>156</v>
      </c>
      <c r="B12" s="183"/>
      <c r="C12" s="2">
        <v>120</v>
      </c>
      <c r="D12" s="2">
        <v>93</v>
      </c>
      <c r="E12" s="2">
        <v>0</v>
      </c>
      <c r="F12" s="2">
        <v>1452</v>
      </c>
      <c r="G12" s="2">
        <v>1000</v>
      </c>
      <c r="H12" s="2">
        <v>346</v>
      </c>
      <c r="I12" s="35">
        <f t="shared" si="0"/>
        <v>3011</v>
      </c>
      <c r="J12" s="156"/>
      <c r="K12" s="3"/>
      <c r="L12" s="3">
        <v>1</v>
      </c>
      <c r="M12" s="3"/>
      <c r="N12" s="9">
        <f>IF(L12=1,0.025,0.05)</f>
        <v>0.025</v>
      </c>
      <c r="O12" s="15">
        <f>11861.89</f>
        <v>11861.89</v>
      </c>
      <c r="P12" s="15"/>
      <c r="Q12" s="15">
        <f>(O12)*N12</f>
        <v>296.54725</v>
      </c>
      <c r="R12" s="17"/>
      <c r="S12" s="15"/>
      <c r="T12" s="14">
        <v>6495.48</v>
      </c>
      <c r="U12" s="18">
        <f t="shared" si="1"/>
        <v>18653.91725</v>
      </c>
      <c r="V12" s="166"/>
      <c r="W12" s="73">
        <f>ROUND(X34*V10,2)</f>
        <v>20207.21</v>
      </c>
      <c r="X12" s="30">
        <f t="shared" si="2"/>
        <v>1553.2927500000005</v>
      </c>
      <c r="Y12" s="138">
        <f>X12*Q37/100</f>
        <v>415.1671928055002</v>
      </c>
      <c r="Z12" s="16">
        <f t="shared" si="3"/>
        <v>34.6</v>
      </c>
      <c r="AA12" s="18">
        <v>148.87</v>
      </c>
      <c r="AB12" s="18">
        <f t="shared" si="4"/>
        <v>449.77</v>
      </c>
      <c r="AC12" s="18">
        <v>601.53</v>
      </c>
      <c r="AD12" s="16">
        <f t="shared" si="5"/>
        <v>172.62</v>
      </c>
      <c r="AE12" s="56">
        <f t="shared" si="6"/>
        <v>622.39</v>
      </c>
      <c r="AF12" s="58">
        <f t="shared" si="7"/>
        <v>1874016.29</v>
      </c>
      <c r="AG12" s="138">
        <f t="shared" si="8"/>
        <v>34.6</v>
      </c>
    </row>
    <row r="13" spans="1:33" s="8" customFormat="1" ht="42" customHeight="1" thickBot="1">
      <c r="A13" s="119" t="s">
        <v>157</v>
      </c>
      <c r="B13" s="115" t="s">
        <v>158</v>
      </c>
      <c r="C13" s="2">
        <v>29</v>
      </c>
      <c r="D13" s="2">
        <v>0</v>
      </c>
      <c r="E13" s="2">
        <v>1774</v>
      </c>
      <c r="F13" s="2">
        <v>547</v>
      </c>
      <c r="G13" s="2">
        <v>324</v>
      </c>
      <c r="H13" s="2">
        <v>272</v>
      </c>
      <c r="I13" s="35">
        <f t="shared" si="0"/>
        <v>2946</v>
      </c>
      <c r="J13" s="156"/>
      <c r="K13" s="3"/>
      <c r="L13" s="3"/>
      <c r="M13" s="3"/>
      <c r="N13" s="9"/>
      <c r="O13" s="15">
        <f>11861.89</f>
        <v>11861.89</v>
      </c>
      <c r="P13" s="15"/>
      <c r="Q13" s="15"/>
      <c r="R13" s="15"/>
      <c r="S13" s="15"/>
      <c r="T13" s="14">
        <v>6495.48</v>
      </c>
      <c r="U13" s="18">
        <f t="shared" si="1"/>
        <v>18357.37</v>
      </c>
      <c r="V13" s="81">
        <v>133</v>
      </c>
      <c r="W13" s="73">
        <f>ROUND(X34*V13,2)</f>
        <v>19834.38</v>
      </c>
      <c r="X13" s="30">
        <f t="shared" si="2"/>
        <v>1477.010000000002</v>
      </c>
      <c r="Y13" s="138">
        <f>X13*Q37/100</f>
        <v>394.77818682000054</v>
      </c>
      <c r="Z13" s="16">
        <f t="shared" si="3"/>
        <v>32.9</v>
      </c>
      <c r="AA13" s="18">
        <v>141.56</v>
      </c>
      <c r="AB13" s="18">
        <f t="shared" si="4"/>
        <v>427.68</v>
      </c>
      <c r="AC13" s="18">
        <v>572.02</v>
      </c>
      <c r="AD13" s="16">
        <f t="shared" si="5"/>
        <v>164.14</v>
      </c>
      <c r="AE13" s="56">
        <f t="shared" si="6"/>
        <v>591.8199999999999</v>
      </c>
      <c r="AF13" s="58">
        <f t="shared" si="7"/>
        <v>1743501.72</v>
      </c>
      <c r="AG13" s="138">
        <f t="shared" si="8"/>
        <v>32.9</v>
      </c>
    </row>
    <row r="14" spans="1:33" ht="30.75" customHeight="1" thickBot="1">
      <c r="A14" s="102" t="s">
        <v>84</v>
      </c>
      <c r="B14" s="97" t="s">
        <v>85</v>
      </c>
      <c r="C14" s="2">
        <v>717</v>
      </c>
      <c r="D14" s="2">
        <v>1132</v>
      </c>
      <c r="E14" s="2">
        <v>24148</v>
      </c>
      <c r="F14" s="2">
        <v>7716</v>
      </c>
      <c r="G14" s="2">
        <v>11836</v>
      </c>
      <c r="H14" s="2">
        <v>12307</v>
      </c>
      <c r="I14" s="35">
        <f t="shared" si="0"/>
        <v>57856</v>
      </c>
      <c r="J14" s="13" t="s">
        <v>26</v>
      </c>
      <c r="K14" s="3"/>
      <c r="L14" s="3"/>
      <c r="M14" s="3"/>
      <c r="N14" s="9"/>
      <c r="O14" s="15">
        <f>11082.86</f>
        <v>11082.86</v>
      </c>
      <c r="P14" s="15"/>
      <c r="Q14" s="15"/>
      <c r="R14" s="15"/>
      <c r="S14" s="15"/>
      <c r="T14" s="15">
        <v>6445.8</v>
      </c>
      <c r="U14" s="18">
        <f t="shared" si="1"/>
        <v>17528.66</v>
      </c>
      <c r="V14" s="81">
        <v>128</v>
      </c>
      <c r="W14" s="73">
        <f>ROUND(X34*V14,2)</f>
        <v>19088.73</v>
      </c>
      <c r="X14" s="30">
        <f t="shared" si="2"/>
        <v>1560.0699999999997</v>
      </c>
      <c r="Y14" s="138">
        <f>X14*Q37/100</f>
        <v>416.97862974</v>
      </c>
      <c r="Z14" s="16">
        <f t="shared" si="3"/>
        <v>34.75</v>
      </c>
      <c r="AA14" s="18">
        <v>149.51</v>
      </c>
      <c r="AB14" s="18">
        <f t="shared" si="4"/>
        <v>451.73</v>
      </c>
      <c r="AC14" s="18">
        <v>604.1</v>
      </c>
      <c r="AD14" s="16">
        <f t="shared" si="5"/>
        <v>173.37</v>
      </c>
      <c r="AE14" s="56">
        <f t="shared" si="6"/>
        <v>625.1</v>
      </c>
      <c r="AF14" s="58">
        <f t="shared" si="7"/>
        <v>36165785.6</v>
      </c>
      <c r="AG14" s="138">
        <f t="shared" si="8"/>
        <v>34.75</v>
      </c>
    </row>
    <row r="15" spans="1:33" ht="27" customHeight="1" thickBot="1">
      <c r="A15" s="103" t="s">
        <v>86</v>
      </c>
      <c r="B15" s="146" t="s">
        <v>87</v>
      </c>
      <c r="C15" s="2">
        <v>3</v>
      </c>
      <c r="D15" s="2">
        <v>634</v>
      </c>
      <c r="E15" s="2">
        <v>15878</v>
      </c>
      <c r="F15" s="2">
        <v>5107</v>
      </c>
      <c r="G15" s="2">
        <v>4300</v>
      </c>
      <c r="H15" s="2">
        <v>2268</v>
      </c>
      <c r="I15" s="35">
        <f t="shared" si="0"/>
        <v>28190</v>
      </c>
      <c r="J15" s="156" t="s">
        <v>9</v>
      </c>
      <c r="K15" s="3">
        <v>1</v>
      </c>
      <c r="L15" s="3"/>
      <c r="M15" s="9">
        <f>IF(K15=1,0.025,0.05)</f>
        <v>0.025</v>
      </c>
      <c r="N15" s="9"/>
      <c r="O15" s="15">
        <f>10379.57</f>
        <v>10379.57</v>
      </c>
      <c r="P15" s="15">
        <f>(O15)*M15</f>
        <v>259.48925</v>
      </c>
      <c r="Q15" s="15"/>
      <c r="R15" s="15">
        <v>258.23</v>
      </c>
      <c r="S15" s="15"/>
      <c r="T15" s="15">
        <v>6408.48</v>
      </c>
      <c r="U15" s="18">
        <f t="shared" si="1"/>
        <v>17305.769249999998</v>
      </c>
      <c r="V15" s="154">
        <v>124</v>
      </c>
      <c r="W15" s="73">
        <f>ROUND(X34*V15,2)</f>
        <v>18492.21</v>
      </c>
      <c r="X15" s="30">
        <f t="shared" si="2"/>
        <v>1186.4407500000016</v>
      </c>
      <c r="Y15" s="138">
        <f>X15*Q37/100</f>
        <v>317.1142565415004</v>
      </c>
      <c r="Z15" s="16">
        <f t="shared" si="3"/>
        <v>26.43</v>
      </c>
      <c r="AA15" s="18">
        <v>113.71</v>
      </c>
      <c r="AB15" s="18">
        <f t="shared" si="4"/>
        <v>343.54</v>
      </c>
      <c r="AC15" s="18">
        <v>459.62</v>
      </c>
      <c r="AD15" s="16">
        <f t="shared" si="5"/>
        <v>131.85</v>
      </c>
      <c r="AE15" s="56">
        <f t="shared" si="6"/>
        <v>475.39</v>
      </c>
      <c r="AF15" s="58">
        <f t="shared" si="7"/>
        <v>13401244.1</v>
      </c>
      <c r="AG15" s="138">
        <f t="shared" si="8"/>
        <v>26.43</v>
      </c>
    </row>
    <row r="16" spans="1:33" ht="22.5" customHeight="1" thickBot="1">
      <c r="A16" s="104" t="s">
        <v>88</v>
      </c>
      <c r="B16" s="147"/>
      <c r="C16" s="2">
        <v>300</v>
      </c>
      <c r="D16" s="2">
        <v>320</v>
      </c>
      <c r="E16" s="2">
        <v>10586</v>
      </c>
      <c r="F16" s="2">
        <v>1400</v>
      </c>
      <c r="G16" s="2">
        <v>1591</v>
      </c>
      <c r="H16" s="2">
        <v>10</v>
      </c>
      <c r="I16" s="35">
        <f t="shared" si="0"/>
        <v>14207</v>
      </c>
      <c r="J16" s="156"/>
      <c r="K16" s="3">
        <v>1</v>
      </c>
      <c r="L16" s="3"/>
      <c r="M16" s="9">
        <f>IF(K16=1,0.025,0.05)</f>
        <v>0.025</v>
      </c>
      <c r="N16" s="9"/>
      <c r="O16" s="15">
        <f>10379.57</f>
        <v>10379.57</v>
      </c>
      <c r="P16" s="15">
        <f>(O16)*M16</f>
        <v>259.48925</v>
      </c>
      <c r="Q16" s="15"/>
      <c r="R16" s="15"/>
      <c r="S16" s="15"/>
      <c r="T16" s="15">
        <v>6408.48</v>
      </c>
      <c r="U16" s="18">
        <f t="shared" si="1"/>
        <v>17047.53925</v>
      </c>
      <c r="V16" s="155"/>
      <c r="W16" s="73">
        <f>ROUND(X34*V15,2)</f>
        <v>18492.21</v>
      </c>
      <c r="X16" s="30">
        <f t="shared" si="2"/>
        <v>1444.6707499999975</v>
      </c>
      <c r="Y16" s="138">
        <f>X16*Q37/100</f>
        <v>386.13448740149937</v>
      </c>
      <c r="Z16" s="16">
        <f t="shared" si="3"/>
        <v>32.18</v>
      </c>
      <c r="AA16" s="18">
        <v>138.46</v>
      </c>
      <c r="AB16" s="18">
        <f t="shared" si="4"/>
        <v>418.31</v>
      </c>
      <c r="AC16" s="18">
        <v>559.45</v>
      </c>
      <c r="AD16" s="16">
        <f t="shared" si="5"/>
        <v>160.55</v>
      </c>
      <c r="AE16" s="56">
        <f t="shared" si="6"/>
        <v>578.86</v>
      </c>
      <c r="AF16" s="58">
        <f t="shared" si="7"/>
        <v>8223864.02</v>
      </c>
      <c r="AG16" s="138">
        <f t="shared" si="8"/>
        <v>32.18</v>
      </c>
    </row>
    <row r="17" spans="1:33" ht="25.5" customHeight="1" thickBot="1">
      <c r="A17" s="103" t="s">
        <v>89</v>
      </c>
      <c r="B17" s="146" t="s">
        <v>90</v>
      </c>
      <c r="C17" s="2">
        <v>0</v>
      </c>
      <c r="D17" s="2">
        <v>167</v>
      </c>
      <c r="E17" s="2">
        <v>1614</v>
      </c>
      <c r="F17" s="2">
        <v>2</v>
      </c>
      <c r="G17" s="2">
        <v>411</v>
      </c>
      <c r="H17" s="2">
        <v>65</v>
      </c>
      <c r="I17" s="35">
        <f t="shared" si="0"/>
        <v>2259</v>
      </c>
      <c r="J17" s="156" t="s">
        <v>7</v>
      </c>
      <c r="K17" s="3">
        <v>2</v>
      </c>
      <c r="L17" s="3"/>
      <c r="M17" s="9">
        <f>IF(K17=1,0.025,0.05)</f>
        <v>0.05</v>
      </c>
      <c r="N17" s="9"/>
      <c r="O17" s="15">
        <f>9675.07</f>
        <v>9675.07</v>
      </c>
      <c r="P17" s="15">
        <f>(O17)*M17</f>
        <v>483.75350000000003</v>
      </c>
      <c r="Q17" s="15"/>
      <c r="R17" s="15">
        <v>258.23</v>
      </c>
      <c r="S17" s="15"/>
      <c r="T17" s="15">
        <v>6371.04</v>
      </c>
      <c r="U17" s="18">
        <f t="shared" si="1"/>
        <v>16788.0935</v>
      </c>
      <c r="V17" s="154">
        <v>120.75</v>
      </c>
      <c r="W17" s="73">
        <f>ROUND(X34*V17,2)</f>
        <v>18007.53</v>
      </c>
      <c r="X17" s="30">
        <f t="shared" si="2"/>
        <v>1219.4364999999998</v>
      </c>
      <c r="Y17" s="138">
        <f>X17*Q37/100</f>
        <v>325.933426593</v>
      </c>
      <c r="Z17" s="16">
        <f t="shared" si="3"/>
        <v>27.16</v>
      </c>
      <c r="AA17" s="18">
        <v>116.87</v>
      </c>
      <c r="AB17" s="18">
        <f t="shared" si="4"/>
        <v>353.09</v>
      </c>
      <c r="AC17" s="18">
        <v>472.35</v>
      </c>
      <c r="AD17" s="16">
        <f t="shared" si="5"/>
        <v>135.52</v>
      </c>
      <c r="AE17" s="56">
        <f t="shared" si="6"/>
        <v>488.61</v>
      </c>
      <c r="AF17" s="58">
        <f t="shared" si="7"/>
        <v>1103769.99</v>
      </c>
      <c r="AG17" s="138">
        <f t="shared" si="8"/>
        <v>27.16</v>
      </c>
    </row>
    <row r="18" spans="1:33" ht="22.5" customHeight="1" thickBot="1">
      <c r="A18" s="104" t="s">
        <v>91</v>
      </c>
      <c r="B18" s="147"/>
      <c r="C18" s="5">
        <v>0</v>
      </c>
      <c r="D18" s="5">
        <v>22</v>
      </c>
      <c r="E18" s="5">
        <v>1614</v>
      </c>
      <c r="F18" s="5">
        <v>0</v>
      </c>
      <c r="G18" s="5">
        <v>408</v>
      </c>
      <c r="H18" s="5">
        <v>0</v>
      </c>
      <c r="I18" s="37">
        <f t="shared" si="0"/>
        <v>2044</v>
      </c>
      <c r="J18" s="157"/>
      <c r="K18" s="7">
        <v>2</v>
      </c>
      <c r="L18" s="7"/>
      <c r="M18" s="11">
        <f>IF(K18=1,0.025,0.05)</f>
        <v>0.05</v>
      </c>
      <c r="N18" s="11"/>
      <c r="O18" s="14">
        <f>9675.07</f>
        <v>9675.07</v>
      </c>
      <c r="P18" s="14">
        <f>(O18)*M18</f>
        <v>483.75350000000003</v>
      </c>
      <c r="Q18" s="14"/>
      <c r="R18" s="14"/>
      <c r="S18" s="14"/>
      <c r="T18" s="15">
        <v>6371.04</v>
      </c>
      <c r="U18" s="18">
        <f t="shared" si="1"/>
        <v>16529.8635</v>
      </c>
      <c r="V18" s="160"/>
      <c r="W18" s="73">
        <f>ROUND(X34*V17,2)</f>
        <v>18007.53</v>
      </c>
      <c r="X18" s="34">
        <f t="shared" si="2"/>
        <v>1477.6664999999994</v>
      </c>
      <c r="Y18" s="138">
        <f>X18*Q37/100</f>
        <v>394.95365745299983</v>
      </c>
      <c r="Z18" s="16">
        <f t="shared" si="3"/>
        <v>32.91</v>
      </c>
      <c r="AA18" s="18">
        <v>141.61</v>
      </c>
      <c r="AB18" s="18">
        <f t="shared" si="4"/>
        <v>427.86</v>
      </c>
      <c r="AC18" s="18">
        <v>572.18</v>
      </c>
      <c r="AD18" s="16">
        <f t="shared" si="5"/>
        <v>164.21</v>
      </c>
      <c r="AE18" s="59">
        <f t="shared" si="6"/>
        <v>592.07</v>
      </c>
      <c r="AF18" s="58">
        <f t="shared" si="7"/>
        <v>1210191.08</v>
      </c>
      <c r="AG18" s="138">
        <f t="shared" si="8"/>
        <v>32.91</v>
      </c>
    </row>
    <row r="19" spans="2:33" ht="35.25" customHeight="1" thickBot="1">
      <c r="B19" s="105" t="s">
        <v>14</v>
      </c>
      <c r="C19" s="26"/>
      <c r="D19" s="26"/>
      <c r="E19" s="27"/>
      <c r="F19" s="27"/>
      <c r="G19" s="26"/>
      <c r="H19" s="26"/>
      <c r="I19" s="27"/>
      <c r="J19" s="8"/>
      <c r="K19" s="8"/>
      <c r="L19" s="8"/>
      <c r="M19" s="8"/>
      <c r="N19" s="8"/>
      <c r="O19" s="20"/>
      <c r="P19" s="20"/>
      <c r="Q19" s="20"/>
      <c r="R19" s="20"/>
      <c r="S19" s="20"/>
      <c r="T19" s="62"/>
      <c r="U19" s="21"/>
      <c r="V19" s="20"/>
      <c r="W19" s="77"/>
      <c r="X19" s="19"/>
      <c r="Y19" s="139"/>
      <c r="Z19" s="20"/>
      <c r="AA19" s="21"/>
      <c r="AB19" s="21"/>
      <c r="AC19" s="21"/>
      <c r="AD19" s="20"/>
      <c r="AE19" s="20"/>
      <c r="AF19" s="21"/>
      <c r="AG19" s="139"/>
    </row>
    <row r="20" spans="1:33" ht="24.75" customHeight="1" thickBot="1">
      <c r="A20" s="106" t="s">
        <v>92</v>
      </c>
      <c r="B20" s="146" t="s">
        <v>93</v>
      </c>
      <c r="C20" s="31">
        <v>79</v>
      </c>
      <c r="D20" s="31">
        <v>108</v>
      </c>
      <c r="E20" s="31">
        <v>0</v>
      </c>
      <c r="F20" s="31">
        <v>64</v>
      </c>
      <c r="G20" s="31">
        <v>794</v>
      </c>
      <c r="H20" s="31">
        <v>1265</v>
      </c>
      <c r="I20" s="31">
        <f aca="true" t="shared" si="9" ref="I20:I26">C20+D20+E20+F20+G20+H20</f>
        <v>2310</v>
      </c>
      <c r="J20" s="161" t="s">
        <v>9</v>
      </c>
      <c r="K20" s="6"/>
      <c r="L20" s="6">
        <v>1</v>
      </c>
      <c r="M20" s="10"/>
      <c r="N20" s="10">
        <f>IF(L20=1,0.025,0.05)</f>
        <v>0.025</v>
      </c>
      <c r="O20" s="16">
        <f>10379.57</f>
        <v>10379.57</v>
      </c>
      <c r="P20" s="16"/>
      <c r="Q20" s="16">
        <f>(O20)*N20</f>
        <v>259.48925</v>
      </c>
      <c r="R20" s="16"/>
      <c r="S20" s="16">
        <v>232.41</v>
      </c>
      <c r="T20" s="15">
        <v>6408.48</v>
      </c>
      <c r="U20" s="18">
        <f aca="true" t="shared" si="10" ref="U20:U26">SUM(O20:T20)</f>
        <v>17279.949249999998</v>
      </c>
      <c r="V20" s="162">
        <v>122.5</v>
      </c>
      <c r="W20" s="73">
        <f>ROUND(X34*V20,2)</f>
        <v>18268.51</v>
      </c>
      <c r="X20" s="32">
        <f aca="true" t="shared" si="11" ref="X20:X26">W20-U20</f>
        <v>988.5607500000006</v>
      </c>
      <c r="Y20" s="138">
        <f>X20*Q37/100</f>
        <v>264.22449438150016</v>
      </c>
      <c r="Z20" s="16">
        <f aca="true" t="shared" si="12" ref="Z20:Z26">ROUND(Y20/12,2)</f>
        <v>22.02</v>
      </c>
      <c r="AA20" s="18">
        <v>94.75</v>
      </c>
      <c r="AB20" s="18">
        <f aca="true" t="shared" si="13" ref="AB20:AB26">ROUND(Y20+Z20,2)</f>
        <v>286.24</v>
      </c>
      <c r="AC20" s="18">
        <v>383.11</v>
      </c>
      <c r="AD20" s="16">
        <f aca="true" t="shared" si="14" ref="AD20:AD26">ROUND(AB20*0.3838,2)</f>
        <v>109.86</v>
      </c>
      <c r="AE20" s="55">
        <f aca="true" t="shared" si="15" ref="AE20:AE26">AB20+AD20</f>
        <v>396.1</v>
      </c>
      <c r="AF20" s="58">
        <f aca="true" t="shared" si="16" ref="AF20:AF26">ROUND(AE20*I20,2)</f>
        <v>914991</v>
      </c>
      <c r="AG20" s="138">
        <f aca="true" t="shared" si="17" ref="AG20:AG26">ROUND(Y20/12,2)</f>
        <v>22.02</v>
      </c>
    </row>
    <row r="21" spans="1:33" ht="28.5" customHeight="1" thickBot="1">
      <c r="A21" s="107" t="s">
        <v>94</v>
      </c>
      <c r="B21" s="179"/>
      <c r="C21" s="2">
        <v>8</v>
      </c>
      <c r="D21" s="2">
        <v>13</v>
      </c>
      <c r="E21" s="2">
        <v>0</v>
      </c>
      <c r="F21" s="2">
        <v>825</v>
      </c>
      <c r="G21" s="2">
        <v>297</v>
      </c>
      <c r="H21" s="2">
        <v>766</v>
      </c>
      <c r="I21" s="2">
        <f t="shared" si="9"/>
        <v>1909</v>
      </c>
      <c r="J21" s="156"/>
      <c r="K21" s="3"/>
      <c r="L21" s="3"/>
      <c r="M21" s="9"/>
      <c r="N21" s="9">
        <f>IF(L21=1,0.025,0.05)</f>
        <v>0.05</v>
      </c>
      <c r="O21" s="15">
        <f>10379.57</f>
        <v>10379.57</v>
      </c>
      <c r="P21" s="15"/>
      <c r="Q21" s="15"/>
      <c r="R21" s="15"/>
      <c r="S21" s="15">
        <v>232.41</v>
      </c>
      <c r="T21" s="15">
        <v>6408.48</v>
      </c>
      <c r="U21" s="18">
        <f t="shared" si="10"/>
        <v>17020.46</v>
      </c>
      <c r="V21" s="163"/>
      <c r="W21" s="73">
        <f>ROUND(X34*V20,2)</f>
        <v>18268.51</v>
      </c>
      <c r="X21" s="30">
        <f t="shared" si="11"/>
        <v>1248.0499999999993</v>
      </c>
      <c r="Y21" s="138">
        <f>X21*Q37/100</f>
        <v>333.5813000999998</v>
      </c>
      <c r="Z21" s="16">
        <f t="shared" si="12"/>
        <v>27.8</v>
      </c>
      <c r="AA21" s="18">
        <v>119.61</v>
      </c>
      <c r="AB21" s="18">
        <f t="shared" si="13"/>
        <v>361.38</v>
      </c>
      <c r="AC21" s="18">
        <v>483.43</v>
      </c>
      <c r="AD21" s="16">
        <f t="shared" si="14"/>
        <v>138.7</v>
      </c>
      <c r="AE21" s="56">
        <f t="shared" si="15"/>
        <v>500.08</v>
      </c>
      <c r="AF21" s="58">
        <f t="shared" si="16"/>
        <v>954652.72</v>
      </c>
      <c r="AG21" s="138">
        <f t="shared" si="17"/>
        <v>27.8</v>
      </c>
    </row>
    <row r="22" spans="1:33" ht="28.5" customHeight="1" thickBot="1">
      <c r="A22" s="108" t="s">
        <v>95</v>
      </c>
      <c r="B22" s="147"/>
      <c r="C22" s="2">
        <v>31</v>
      </c>
      <c r="D22" s="2">
        <v>0</v>
      </c>
      <c r="E22" s="2">
        <v>11</v>
      </c>
      <c r="F22" s="2">
        <v>0</v>
      </c>
      <c r="G22" s="2">
        <v>117</v>
      </c>
      <c r="H22" s="2">
        <v>38</v>
      </c>
      <c r="I22" s="2">
        <f t="shared" si="9"/>
        <v>197</v>
      </c>
      <c r="J22" s="156"/>
      <c r="K22" s="3"/>
      <c r="L22" s="3">
        <v>1</v>
      </c>
      <c r="M22" s="9"/>
      <c r="N22" s="9">
        <f>IF(L22=1,0.025,0.05)</f>
        <v>0.025</v>
      </c>
      <c r="O22" s="15">
        <f>10379.57</f>
        <v>10379.57</v>
      </c>
      <c r="P22" s="15"/>
      <c r="Q22" s="15">
        <f>(O22)*N22</f>
        <v>259.48925</v>
      </c>
      <c r="R22" s="15"/>
      <c r="S22" s="15"/>
      <c r="T22" s="15">
        <v>6408.48</v>
      </c>
      <c r="U22" s="18">
        <f t="shared" si="10"/>
        <v>17047.53925</v>
      </c>
      <c r="V22" s="155"/>
      <c r="W22" s="73">
        <f>ROUND(X34*V20,2)</f>
        <v>18268.51</v>
      </c>
      <c r="X22" s="30">
        <f t="shared" si="11"/>
        <v>1220.9707499999968</v>
      </c>
      <c r="Y22" s="138">
        <f>X22*Q37/100</f>
        <v>326.3435040014991</v>
      </c>
      <c r="Z22" s="16">
        <f t="shared" si="12"/>
        <v>27.2</v>
      </c>
      <c r="AA22" s="18">
        <v>117.02</v>
      </c>
      <c r="AB22" s="18">
        <f t="shared" si="13"/>
        <v>353.54</v>
      </c>
      <c r="AC22" s="18">
        <v>472.96</v>
      </c>
      <c r="AD22" s="16">
        <f t="shared" si="14"/>
        <v>135.69</v>
      </c>
      <c r="AE22" s="56">
        <f t="shared" si="15"/>
        <v>489.23</v>
      </c>
      <c r="AF22" s="58">
        <f t="shared" si="16"/>
        <v>96378.31</v>
      </c>
      <c r="AG22" s="138">
        <f t="shared" si="17"/>
        <v>27.2</v>
      </c>
    </row>
    <row r="23" spans="1:33" ht="25.5" customHeight="1" thickBot="1">
      <c r="A23" s="109" t="s">
        <v>96</v>
      </c>
      <c r="B23" s="110" t="s">
        <v>97</v>
      </c>
      <c r="C23" s="2">
        <v>77</v>
      </c>
      <c r="D23" s="2">
        <v>45</v>
      </c>
      <c r="E23" s="2">
        <v>0</v>
      </c>
      <c r="F23" s="2">
        <v>211</v>
      </c>
      <c r="G23" s="2">
        <v>335</v>
      </c>
      <c r="H23" s="2">
        <v>2345</v>
      </c>
      <c r="I23" s="2">
        <f t="shared" si="9"/>
        <v>3013</v>
      </c>
      <c r="J23" s="13" t="s">
        <v>9</v>
      </c>
      <c r="K23" s="3"/>
      <c r="L23" s="3"/>
      <c r="M23" s="9"/>
      <c r="N23" s="9"/>
      <c r="O23" s="15">
        <f>10379.57</f>
        <v>10379.57</v>
      </c>
      <c r="P23" s="15"/>
      <c r="Q23" s="15"/>
      <c r="R23" s="15"/>
      <c r="S23" s="15"/>
      <c r="T23" s="15">
        <v>6408.48</v>
      </c>
      <c r="U23" s="18">
        <f t="shared" si="10"/>
        <v>16788.05</v>
      </c>
      <c r="V23" s="81">
        <v>120.25</v>
      </c>
      <c r="W23" s="73">
        <f>ROUND(X34*V23,2)</f>
        <v>17932.97</v>
      </c>
      <c r="X23" s="30">
        <f t="shared" si="11"/>
        <v>1144.920000000002</v>
      </c>
      <c r="Y23" s="138">
        <f>X23*Q37/100</f>
        <v>306.0165074400005</v>
      </c>
      <c r="Z23" s="16">
        <f t="shared" si="12"/>
        <v>25.5</v>
      </c>
      <c r="AA23" s="18">
        <v>109.73</v>
      </c>
      <c r="AB23" s="18">
        <f t="shared" si="13"/>
        <v>331.52</v>
      </c>
      <c r="AC23" s="18">
        <v>443.54</v>
      </c>
      <c r="AD23" s="16">
        <f t="shared" si="14"/>
        <v>127.24</v>
      </c>
      <c r="AE23" s="56">
        <f t="shared" si="15"/>
        <v>458.76</v>
      </c>
      <c r="AF23" s="58">
        <f t="shared" si="16"/>
        <v>1382243.88</v>
      </c>
      <c r="AG23" s="138">
        <f t="shared" si="17"/>
        <v>25.5</v>
      </c>
    </row>
    <row r="24" spans="1:33" ht="18.75" customHeight="1" thickBot="1">
      <c r="A24" s="94" t="s">
        <v>98</v>
      </c>
      <c r="B24" s="110" t="s">
        <v>99</v>
      </c>
      <c r="C24" s="2">
        <v>346</v>
      </c>
      <c r="D24" s="2">
        <v>2340</v>
      </c>
      <c r="E24" s="2">
        <v>650</v>
      </c>
      <c r="F24" s="2">
        <v>6821</v>
      </c>
      <c r="G24" s="2">
        <v>5624</v>
      </c>
      <c r="H24" s="2">
        <v>6085</v>
      </c>
      <c r="I24" s="2">
        <f t="shared" si="9"/>
        <v>21866</v>
      </c>
      <c r="J24" s="156" t="s">
        <v>7</v>
      </c>
      <c r="K24" s="3">
        <v>1</v>
      </c>
      <c r="L24" s="3"/>
      <c r="M24" s="9">
        <f>IF(K24=1,0.025,0.05)</f>
        <v>0.025</v>
      </c>
      <c r="N24" s="9"/>
      <c r="O24" s="15">
        <f>9675.07</f>
        <v>9675.07</v>
      </c>
      <c r="P24" s="15">
        <f>(O24)*M24</f>
        <v>241.87675000000002</v>
      </c>
      <c r="Q24" s="15"/>
      <c r="R24" s="15"/>
      <c r="S24" s="15"/>
      <c r="T24" s="15">
        <v>6371.04</v>
      </c>
      <c r="U24" s="18">
        <f t="shared" si="10"/>
        <v>16287.98675</v>
      </c>
      <c r="V24" s="81">
        <v>116.25</v>
      </c>
      <c r="W24" s="73">
        <f>ROUND(X34*V24,2)</f>
        <v>17336.44</v>
      </c>
      <c r="X24" s="30">
        <f t="shared" si="11"/>
        <v>1048.4532499999987</v>
      </c>
      <c r="Y24" s="138">
        <f>X24*Q37/100</f>
        <v>280.23268156649965</v>
      </c>
      <c r="Z24" s="16">
        <f t="shared" si="12"/>
        <v>23.35</v>
      </c>
      <c r="AA24" s="18">
        <v>100.48</v>
      </c>
      <c r="AB24" s="18">
        <f t="shared" si="13"/>
        <v>303.58</v>
      </c>
      <c r="AC24" s="18">
        <v>406.22</v>
      </c>
      <c r="AD24" s="16">
        <f t="shared" si="14"/>
        <v>116.51</v>
      </c>
      <c r="AE24" s="56">
        <f t="shared" si="15"/>
        <v>420.09</v>
      </c>
      <c r="AF24" s="58">
        <f t="shared" si="16"/>
        <v>9185687.94</v>
      </c>
      <c r="AG24" s="138">
        <f t="shared" si="17"/>
        <v>23.35</v>
      </c>
    </row>
    <row r="25" spans="1:33" ht="18.75" customHeight="1" thickBot="1">
      <c r="A25" s="120" t="s">
        <v>100</v>
      </c>
      <c r="B25" s="146" t="s">
        <v>101</v>
      </c>
      <c r="C25" s="2">
        <v>4</v>
      </c>
      <c r="D25" s="2">
        <v>0</v>
      </c>
      <c r="E25" s="2">
        <v>5135</v>
      </c>
      <c r="F25" s="2">
        <v>2081</v>
      </c>
      <c r="G25" s="2">
        <v>7307</v>
      </c>
      <c r="H25" s="2">
        <v>2235</v>
      </c>
      <c r="I25" s="2">
        <f t="shared" si="9"/>
        <v>16762</v>
      </c>
      <c r="J25" s="156"/>
      <c r="K25" s="3"/>
      <c r="L25" s="3"/>
      <c r="M25" s="9"/>
      <c r="N25" s="9"/>
      <c r="O25" s="15">
        <f>9675.07</f>
        <v>9675.07</v>
      </c>
      <c r="P25" s="15"/>
      <c r="Q25" s="15"/>
      <c r="R25" s="15">
        <v>191.09</v>
      </c>
      <c r="S25" s="15"/>
      <c r="T25" s="15">
        <v>6371.04</v>
      </c>
      <c r="U25" s="18">
        <f t="shared" si="10"/>
        <v>16237.2</v>
      </c>
      <c r="V25" s="154">
        <v>112.5</v>
      </c>
      <c r="W25" s="14">
        <f>ROUND(X34*V25,2)</f>
        <v>16777.2</v>
      </c>
      <c r="X25" s="30">
        <f t="shared" si="11"/>
        <v>540</v>
      </c>
      <c r="Y25" s="138">
        <f>X25*Q37/100</f>
        <v>144.33228</v>
      </c>
      <c r="Z25" s="16">
        <f t="shared" si="12"/>
        <v>12.03</v>
      </c>
      <c r="AA25" s="18">
        <v>51.75</v>
      </c>
      <c r="AB25" s="18">
        <f t="shared" si="13"/>
        <v>156.36</v>
      </c>
      <c r="AC25" s="18">
        <v>195.2</v>
      </c>
      <c r="AD25" s="16">
        <f t="shared" si="14"/>
        <v>60.01</v>
      </c>
      <c r="AE25" s="56">
        <f t="shared" si="15"/>
        <v>216.37</v>
      </c>
      <c r="AF25" s="58">
        <f t="shared" si="16"/>
        <v>3626793.94</v>
      </c>
      <c r="AG25" s="138">
        <f t="shared" si="17"/>
        <v>12.03</v>
      </c>
    </row>
    <row r="26" spans="1:33" ht="18.75" customHeight="1" thickBot="1">
      <c r="A26" s="121" t="s">
        <v>102</v>
      </c>
      <c r="B26" s="147"/>
      <c r="C26" s="5">
        <v>626</v>
      </c>
      <c r="D26" s="5">
        <v>1445</v>
      </c>
      <c r="E26" s="5">
        <v>4201</v>
      </c>
      <c r="F26" s="5">
        <v>2945</v>
      </c>
      <c r="G26" s="5">
        <v>4477</v>
      </c>
      <c r="H26" s="5">
        <v>2748</v>
      </c>
      <c r="I26" s="5">
        <f t="shared" si="9"/>
        <v>16442</v>
      </c>
      <c r="J26" s="157"/>
      <c r="K26" s="7"/>
      <c r="L26" s="7"/>
      <c r="M26" s="11"/>
      <c r="N26" s="11"/>
      <c r="O26" s="14">
        <f>9675.07</f>
        <v>9675.07</v>
      </c>
      <c r="P26" s="14"/>
      <c r="Q26" s="14"/>
      <c r="R26" s="14"/>
      <c r="S26" s="14"/>
      <c r="T26" s="15">
        <v>6371.04</v>
      </c>
      <c r="U26" s="18">
        <f t="shared" si="10"/>
        <v>16046.11</v>
      </c>
      <c r="V26" s="160"/>
      <c r="W26" s="14">
        <f>ROUND(X34*V25,2)</f>
        <v>16777.2</v>
      </c>
      <c r="X26" s="34">
        <f t="shared" si="11"/>
        <v>731.0900000000001</v>
      </c>
      <c r="Y26" s="138">
        <f>X26*Q37/100</f>
        <v>195.40719738000004</v>
      </c>
      <c r="Z26" s="16">
        <f t="shared" si="12"/>
        <v>16.28</v>
      </c>
      <c r="AA26" s="18">
        <v>70.07</v>
      </c>
      <c r="AB26" s="18">
        <f t="shared" si="13"/>
        <v>211.69</v>
      </c>
      <c r="AC26" s="18">
        <v>269.08</v>
      </c>
      <c r="AD26" s="16">
        <f t="shared" si="14"/>
        <v>81.25</v>
      </c>
      <c r="AE26" s="59">
        <f t="shared" si="15"/>
        <v>292.94</v>
      </c>
      <c r="AF26" s="58">
        <f t="shared" si="16"/>
        <v>4816519.48</v>
      </c>
      <c r="AG26" s="138">
        <f t="shared" si="17"/>
        <v>16.28</v>
      </c>
    </row>
    <row r="27" spans="2:33" ht="25.5" customHeight="1" thickBot="1">
      <c r="B27" s="105" t="s">
        <v>173</v>
      </c>
      <c r="C27" s="33"/>
      <c r="D27" s="33"/>
      <c r="E27" s="27"/>
      <c r="F27" s="27"/>
      <c r="G27" s="33"/>
      <c r="H27" s="33"/>
      <c r="I27" s="27"/>
      <c r="J27" s="8"/>
      <c r="K27" s="8"/>
      <c r="L27" s="8"/>
      <c r="M27" s="8"/>
      <c r="N27" s="8"/>
      <c r="O27" s="20"/>
      <c r="P27" s="20"/>
      <c r="Q27" s="20"/>
      <c r="R27" s="20"/>
      <c r="S27" s="20"/>
      <c r="T27" s="20"/>
      <c r="U27" s="21"/>
      <c r="V27" s="20"/>
      <c r="W27" s="62"/>
      <c r="X27" s="19"/>
      <c r="Y27" s="139"/>
      <c r="Z27" s="20"/>
      <c r="AA27" s="21"/>
      <c r="AB27" s="21"/>
      <c r="AC27" s="21"/>
      <c r="AD27" s="20"/>
      <c r="AE27" s="20"/>
      <c r="AF27" s="21"/>
      <c r="AG27" s="139"/>
    </row>
    <row r="28" spans="1:33" ht="18.75" customHeight="1" thickBot="1">
      <c r="A28" s="109" t="s">
        <v>103</v>
      </c>
      <c r="B28" s="111" t="s">
        <v>104</v>
      </c>
      <c r="C28" s="31">
        <v>48</v>
      </c>
      <c r="D28" s="31">
        <v>4015</v>
      </c>
      <c r="E28" s="31">
        <v>0</v>
      </c>
      <c r="F28" s="31">
        <v>28</v>
      </c>
      <c r="G28" s="31">
        <v>5965</v>
      </c>
      <c r="H28" s="31">
        <v>7477</v>
      </c>
      <c r="I28" s="31">
        <f>C28+D28+E28+F28+G28+H28</f>
        <v>17533</v>
      </c>
      <c r="J28" s="28" t="s">
        <v>27</v>
      </c>
      <c r="K28" s="6">
        <v>3</v>
      </c>
      <c r="L28" s="6">
        <v>1</v>
      </c>
      <c r="M28" s="4">
        <f>IF(K28=3,0.075,0)</f>
        <v>0.075</v>
      </c>
      <c r="N28" s="10">
        <f>IF(L28=1,0.025,0.05)</f>
        <v>0.025</v>
      </c>
      <c r="O28" s="16">
        <f>8776.59</f>
        <v>8776.59</v>
      </c>
      <c r="P28" s="16">
        <f>(O28)*M28</f>
        <v>658.24425</v>
      </c>
      <c r="Q28" s="16">
        <f>(O28)*N28</f>
        <v>219.41475000000003</v>
      </c>
      <c r="R28" s="16"/>
      <c r="S28" s="16">
        <v>247.9</v>
      </c>
      <c r="T28" s="16">
        <v>6317.88</v>
      </c>
      <c r="U28" s="18">
        <f>SUM(O28:T28)</f>
        <v>16220.028999999999</v>
      </c>
      <c r="V28" s="80">
        <v>113.5</v>
      </c>
      <c r="W28" s="73">
        <f>ROUND(X34*V28,2)</f>
        <v>16926.33</v>
      </c>
      <c r="X28" s="32">
        <f>W28-U28</f>
        <v>706.3010000000031</v>
      </c>
      <c r="Y28" s="138">
        <f>X28*Q37/100</f>
        <v>188.78154388200085</v>
      </c>
      <c r="Z28" s="16">
        <f>ROUND(Y28/12,2)</f>
        <v>15.73</v>
      </c>
      <c r="AA28" s="18">
        <v>67.69</v>
      </c>
      <c r="AB28" s="18">
        <f>ROUND(Y28+Z28,2)</f>
        <v>204.51</v>
      </c>
      <c r="AC28" s="18">
        <v>273.91</v>
      </c>
      <c r="AD28" s="16">
        <f>ROUND(AB28*0.3838,2)</f>
        <v>78.49</v>
      </c>
      <c r="AE28" s="55">
        <f>AB28+AD28</f>
        <v>283</v>
      </c>
      <c r="AF28" s="58">
        <f>ROUND(AE28*I28,2)</f>
        <v>4961839</v>
      </c>
      <c r="AG28" s="138">
        <f>ROUND(Y28/12,2)</f>
        <v>15.73</v>
      </c>
    </row>
    <row r="29" spans="1:33" ht="18.75" customHeight="1" thickBot="1">
      <c r="A29" s="103" t="s">
        <v>105</v>
      </c>
      <c r="B29" s="150" t="s">
        <v>106</v>
      </c>
      <c r="C29" s="2">
        <v>32</v>
      </c>
      <c r="D29" s="2">
        <v>4994</v>
      </c>
      <c r="E29" s="2">
        <v>0</v>
      </c>
      <c r="F29" s="2">
        <v>5382</v>
      </c>
      <c r="G29" s="2">
        <v>19</v>
      </c>
      <c r="H29" s="2">
        <v>4938</v>
      </c>
      <c r="I29" s="2">
        <f>C29+D29+E29+F29+G29+H29</f>
        <v>15365</v>
      </c>
      <c r="J29" s="156" t="s">
        <v>27</v>
      </c>
      <c r="K29" s="3">
        <v>3</v>
      </c>
      <c r="L29" s="3"/>
      <c r="M29" s="1">
        <f>IF(K29=3,0.075,0)</f>
        <v>0.075</v>
      </c>
      <c r="N29" s="9"/>
      <c r="O29" s="15">
        <f>8776.59</f>
        <v>8776.59</v>
      </c>
      <c r="P29" s="15">
        <f>(O29)*M29</f>
        <v>658.24425</v>
      </c>
      <c r="Q29" s="15"/>
      <c r="R29" s="15"/>
      <c r="S29" s="15">
        <v>247.9</v>
      </c>
      <c r="T29" s="16">
        <v>6317.88</v>
      </c>
      <c r="U29" s="18">
        <f>SUM(O29:T29)</f>
        <v>16000.614249999999</v>
      </c>
      <c r="V29" s="154">
        <v>111.5</v>
      </c>
      <c r="W29" s="14">
        <f>ROUND(X34*V29,2)</f>
        <v>16628.07</v>
      </c>
      <c r="X29" s="30">
        <f>W29-U29</f>
        <v>627.455750000001</v>
      </c>
      <c r="Y29" s="138">
        <f>X29*Q37/100</f>
        <v>167.70762777150026</v>
      </c>
      <c r="Z29" s="16">
        <f>ROUND(Y29/12,2)</f>
        <v>13.98</v>
      </c>
      <c r="AA29" s="18">
        <v>60.14</v>
      </c>
      <c r="AB29" s="18">
        <f>ROUND(Y29+Z29,2)</f>
        <v>181.69</v>
      </c>
      <c r="AC29" s="18">
        <v>243.41</v>
      </c>
      <c r="AD29" s="16">
        <f>ROUND(AB29*0.3838,2)</f>
        <v>69.73</v>
      </c>
      <c r="AE29" s="56">
        <f>AB29+AD29</f>
        <v>251.42000000000002</v>
      </c>
      <c r="AF29" s="58">
        <f>ROUND(AE29*I29,2)</f>
        <v>3863068.3</v>
      </c>
      <c r="AG29" s="138">
        <f>ROUND(Y29/12,2)</f>
        <v>13.98</v>
      </c>
    </row>
    <row r="30" spans="1:33" ht="18.75" customHeight="1" thickBot="1">
      <c r="A30" s="104" t="s">
        <v>107</v>
      </c>
      <c r="B30" s="151"/>
      <c r="C30" s="2">
        <v>339</v>
      </c>
      <c r="D30" s="2">
        <v>488</v>
      </c>
      <c r="E30" s="2">
        <v>0</v>
      </c>
      <c r="F30" s="2">
        <v>1398</v>
      </c>
      <c r="G30" s="2">
        <v>13616</v>
      </c>
      <c r="H30" s="2">
        <v>4694</v>
      </c>
      <c r="I30" s="2">
        <f>C30+D30+E30+F30+G30+H30</f>
        <v>20535</v>
      </c>
      <c r="J30" s="156"/>
      <c r="K30" s="3">
        <v>3</v>
      </c>
      <c r="L30" s="3"/>
      <c r="M30" s="1">
        <f>IF(K30=3,0.075,0)</f>
        <v>0.075</v>
      </c>
      <c r="N30" s="9"/>
      <c r="O30" s="15">
        <f>8776.59</f>
        <v>8776.59</v>
      </c>
      <c r="P30" s="15">
        <f>(O30)*M30</f>
        <v>658.24425</v>
      </c>
      <c r="Q30" s="15"/>
      <c r="R30" s="15"/>
      <c r="S30" s="15"/>
      <c r="T30" s="16">
        <v>6317.88</v>
      </c>
      <c r="U30" s="18">
        <f>SUM(O30:T30)</f>
        <v>15752.71425</v>
      </c>
      <c r="V30" s="155"/>
      <c r="W30" s="14">
        <f>ROUND(X34*V29,2)</f>
        <v>16628.07</v>
      </c>
      <c r="X30" s="30">
        <f>W30-U30</f>
        <v>875.3557499999988</v>
      </c>
      <c r="Y30" s="138">
        <f>X30*Q37/100</f>
        <v>233.9668355714997</v>
      </c>
      <c r="Z30" s="16">
        <f>ROUND(Y30/12,2)</f>
        <v>19.5</v>
      </c>
      <c r="AA30" s="18">
        <v>83.89</v>
      </c>
      <c r="AB30" s="18">
        <f>ROUND(Y30+Z30,2)</f>
        <v>253.47</v>
      </c>
      <c r="AC30" s="18">
        <v>339.26</v>
      </c>
      <c r="AD30" s="16">
        <f>ROUND(AB30*0.3838,2)</f>
        <v>97.28</v>
      </c>
      <c r="AE30" s="56">
        <f>AB30+AD30</f>
        <v>350.75</v>
      </c>
      <c r="AF30" s="58">
        <f>ROUND(AE30*I30,2)</f>
        <v>7202651.25</v>
      </c>
      <c r="AG30" s="138">
        <f>ROUND(Y30/12,2)</f>
        <v>19.5</v>
      </c>
    </row>
    <row r="31" spans="1:33" ht="18.75" customHeight="1" thickBot="1">
      <c r="A31" s="112" t="s">
        <v>108</v>
      </c>
      <c r="B31" s="112" t="s">
        <v>108</v>
      </c>
      <c r="C31" s="2">
        <v>1244</v>
      </c>
      <c r="D31" s="2">
        <v>8089</v>
      </c>
      <c r="E31" s="2">
        <v>1003</v>
      </c>
      <c r="F31" s="2">
        <v>6033</v>
      </c>
      <c r="G31" s="2">
        <v>11102</v>
      </c>
      <c r="H31" s="2">
        <v>19997</v>
      </c>
      <c r="I31" s="2">
        <f>C31+D31+E31+F31+G31+H31</f>
        <v>47468</v>
      </c>
      <c r="J31" s="13" t="s">
        <v>27</v>
      </c>
      <c r="K31" s="3">
        <v>2</v>
      </c>
      <c r="L31" s="3"/>
      <c r="M31" s="9">
        <f>IF(K31=1,0.025,0.05)</f>
        <v>0.05</v>
      </c>
      <c r="N31" s="9"/>
      <c r="O31" s="15">
        <f>8776.59</f>
        <v>8776.59</v>
      </c>
      <c r="P31" s="15">
        <f>(O31)*M31</f>
        <v>438.82950000000005</v>
      </c>
      <c r="Q31" s="15"/>
      <c r="R31" s="15"/>
      <c r="S31" s="15"/>
      <c r="T31" s="16">
        <v>6317.88</v>
      </c>
      <c r="U31" s="18">
        <f>SUM(O31:T31)</f>
        <v>15533.299500000001</v>
      </c>
      <c r="V31" s="81">
        <v>108</v>
      </c>
      <c r="W31" s="14">
        <f>ROUND(X34*V31,2)</f>
        <v>16106.12</v>
      </c>
      <c r="X31" s="30">
        <f>W31-U31</f>
        <v>572.8204999999998</v>
      </c>
      <c r="Y31" s="138">
        <f>X31*Q37/100</f>
        <v>153.10460888099996</v>
      </c>
      <c r="Z31" s="16">
        <f>ROUND(Y31/12,2)</f>
        <v>12.76</v>
      </c>
      <c r="AA31" s="18">
        <v>54.9</v>
      </c>
      <c r="AB31" s="18">
        <f>ROUND(Y31+Z31,2)</f>
        <v>165.86</v>
      </c>
      <c r="AC31" s="18">
        <v>222.27</v>
      </c>
      <c r="AD31" s="16">
        <f>ROUND(AB31*0.3838,2)</f>
        <v>63.66</v>
      </c>
      <c r="AE31" s="56">
        <f>AB31+AD31</f>
        <v>229.52</v>
      </c>
      <c r="AF31" s="58">
        <f>ROUND(AE31*I31,2)</f>
        <v>10894855.36</v>
      </c>
      <c r="AG31" s="138">
        <f>ROUND(Y31/12,2)</f>
        <v>12.76</v>
      </c>
    </row>
    <row r="32" spans="1:33" ht="18.75" customHeight="1" thickBot="1">
      <c r="A32" s="112" t="s">
        <v>109</v>
      </c>
      <c r="B32" s="112" t="s">
        <v>109</v>
      </c>
      <c r="C32" s="2">
        <v>1432</v>
      </c>
      <c r="D32" s="2">
        <v>13580</v>
      </c>
      <c r="E32" s="2">
        <v>18104</v>
      </c>
      <c r="F32" s="2">
        <v>6771</v>
      </c>
      <c r="G32" s="2">
        <v>9000</v>
      </c>
      <c r="H32" s="2">
        <v>16534</v>
      </c>
      <c r="I32" s="2">
        <f>C32+D32+E32+F32+G32+H32</f>
        <v>65421</v>
      </c>
      <c r="J32" s="13" t="s">
        <v>27</v>
      </c>
      <c r="K32" s="3">
        <v>1</v>
      </c>
      <c r="L32" s="3"/>
      <c r="M32" s="9">
        <f>IF(K32=1,0.025,0.05)</f>
        <v>0.025</v>
      </c>
      <c r="N32" s="1"/>
      <c r="O32" s="15">
        <f>8776.59</f>
        <v>8776.59</v>
      </c>
      <c r="P32" s="15">
        <f>(O32)*M32</f>
        <v>219.41475000000003</v>
      </c>
      <c r="Q32" s="15"/>
      <c r="R32" s="15"/>
      <c r="S32" s="15"/>
      <c r="T32" s="16">
        <v>6317.88</v>
      </c>
      <c r="U32" s="18">
        <f>SUM(O32:T32)</f>
        <v>15313.884750000001</v>
      </c>
      <c r="V32" s="81">
        <v>104.5</v>
      </c>
      <c r="W32" s="14">
        <f>ROUND(X34*V32,2)</f>
        <v>15584.16</v>
      </c>
      <c r="X32" s="30">
        <f>W32-U32</f>
        <v>270.2752499999988</v>
      </c>
      <c r="Y32" s="138">
        <f>X32*Q37/100</f>
        <v>72.23970937049968</v>
      </c>
      <c r="Z32" s="16">
        <f>ROUND(Y32/12,2)</f>
        <v>6.02</v>
      </c>
      <c r="AA32" s="18">
        <v>25.9</v>
      </c>
      <c r="AB32" s="18">
        <f>ROUND(Y32+Z32,2)</f>
        <v>78.26</v>
      </c>
      <c r="AC32" s="18">
        <v>105.27</v>
      </c>
      <c r="AD32" s="16">
        <f>ROUND(AB32*0.3838,2)</f>
        <v>30.04</v>
      </c>
      <c r="AE32" s="56">
        <f>AB32+AD32</f>
        <v>108.30000000000001</v>
      </c>
      <c r="AF32" s="58">
        <f>ROUND(AE32*I32,2)</f>
        <v>7085094.3</v>
      </c>
      <c r="AG32" s="138">
        <f>ROUND(Y32/12,2)</f>
        <v>6.02</v>
      </c>
    </row>
    <row r="33" spans="9:33" ht="26.25" customHeight="1">
      <c r="I33" s="12"/>
      <c r="V33" s="86"/>
      <c r="W33" s="22"/>
      <c r="X33" s="19"/>
      <c r="Y33" s="139"/>
      <c r="Z33" s="22"/>
      <c r="AA33" s="143"/>
      <c r="AB33" s="22"/>
      <c r="AC33" s="22"/>
      <c r="AD33" s="22"/>
      <c r="AE33" s="20"/>
      <c r="AF33" s="61"/>
      <c r="AG33" s="139"/>
    </row>
    <row r="34" spans="9:33" ht="26.25" customHeight="1">
      <c r="I34" s="12"/>
      <c r="O34" s="158"/>
      <c r="P34" s="158"/>
      <c r="Q34" s="159"/>
      <c r="R34" s="78" t="e">
        <f>#REF!</f>
        <v>#REF!</v>
      </c>
      <c r="V34" s="22"/>
      <c r="W34" s="12" t="s">
        <v>57</v>
      </c>
      <c r="X34" s="84">
        <v>149.1307</v>
      </c>
      <c r="Y34" s="140"/>
      <c r="Z34" s="19"/>
      <c r="AA34" s="21"/>
      <c r="AB34" s="22"/>
      <c r="AC34" s="22"/>
      <c r="AD34" s="22"/>
      <c r="AE34" s="22"/>
      <c r="AF34" s="20"/>
      <c r="AG34" s="140"/>
    </row>
    <row r="35" spans="2:33" ht="18.75" customHeight="1">
      <c r="B35" s="92"/>
      <c r="Y35" s="92"/>
      <c r="Z35" s="8"/>
      <c r="AA35" s="144"/>
      <c r="AG35" s="92"/>
    </row>
    <row r="36" spans="2:33" ht="18.75" customHeight="1">
      <c r="B36" s="93"/>
      <c r="C36" s="23"/>
      <c r="O36" s="152" t="s">
        <v>41</v>
      </c>
      <c r="P36" s="153"/>
      <c r="Q36" t="s">
        <v>44</v>
      </c>
      <c r="R36" s="23">
        <v>142000000</v>
      </c>
      <c r="S36" s="66" t="s">
        <v>45</v>
      </c>
      <c r="U36" s="23">
        <v>638000000</v>
      </c>
      <c r="Y36" s="92"/>
      <c r="Z36" s="8"/>
      <c r="AA36" s="144"/>
      <c r="AB36" s="8"/>
      <c r="AC36" s="8"/>
      <c r="AG36" s="92"/>
    </row>
    <row r="37" spans="2:33" ht="27" customHeight="1">
      <c r="B37" s="93"/>
      <c r="C37" s="23"/>
      <c r="O37" s="67" t="s">
        <v>46</v>
      </c>
      <c r="Q37" s="68">
        <v>26.7282</v>
      </c>
      <c r="R37" s="67" t="s">
        <v>42</v>
      </c>
      <c r="S37" s="69" t="s">
        <v>43</v>
      </c>
      <c r="Y37" s="92"/>
      <c r="Z37" s="8"/>
      <c r="AA37" s="144"/>
      <c r="AB37" s="8"/>
      <c r="AC37" s="8"/>
      <c r="AG37" s="92"/>
    </row>
    <row r="38" ht="18.75" customHeight="1">
      <c r="B38" s="93"/>
    </row>
    <row r="39" ht="18.75" customHeight="1">
      <c r="B39" s="93"/>
    </row>
    <row r="40" ht="18.75" customHeight="1">
      <c r="B40" s="93"/>
    </row>
    <row r="41" ht="18.75" customHeight="1">
      <c r="B41" s="93"/>
    </row>
    <row r="42" ht="18.75" customHeight="1">
      <c r="B42" s="93"/>
    </row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</sheetData>
  <mergeCells count="47">
    <mergeCell ref="B15:B16"/>
    <mergeCell ref="B17:B18"/>
    <mergeCell ref="B20:B22"/>
    <mergeCell ref="B25:B26"/>
    <mergeCell ref="B29:B30"/>
    <mergeCell ref="O36:P36"/>
    <mergeCell ref="V29:V30"/>
    <mergeCell ref="J24:J26"/>
    <mergeCell ref="J29:J30"/>
    <mergeCell ref="O34:Q34"/>
    <mergeCell ref="J15:J16"/>
    <mergeCell ref="V15:V16"/>
    <mergeCell ref="V25:V26"/>
    <mergeCell ref="J20:J22"/>
    <mergeCell ref="J17:J18"/>
    <mergeCell ref="V17:V18"/>
    <mergeCell ref="V20:V22"/>
    <mergeCell ref="N1:N2"/>
    <mergeCell ref="O1:O2"/>
    <mergeCell ref="J9:J13"/>
    <mergeCell ref="V10:V12"/>
    <mergeCell ref="Q1:Q2"/>
    <mergeCell ref="R1:R2"/>
    <mergeCell ref="S1:S2"/>
    <mergeCell ref="U1:U2"/>
    <mergeCell ref="T1:T2"/>
    <mergeCell ref="P1:P2"/>
    <mergeCell ref="AB1:AB2"/>
    <mergeCell ref="AD1:AD2"/>
    <mergeCell ref="AE1:AE2"/>
    <mergeCell ref="Y1:Y2"/>
    <mergeCell ref="AA1:AA2"/>
    <mergeCell ref="AC1:AC2"/>
    <mergeCell ref="V1:V2"/>
    <mergeCell ref="W1:W2"/>
    <mergeCell ref="X1:X2"/>
    <mergeCell ref="Z1:Z2"/>
    <mergeCell ref="AG1:AG2"/>
    <mergeCell ref="A1:A2"/>
    <mergeCell ref="B10:B12"/>
    <mergeCell ref="B1:B2"/>
    <mergeCell ref="M1:M2"/>
    <mergeCell ref="C1:I1"/>
    <mergeCell ref="J1:J2"/>
    <mergeCell ref="K1:K2"/>
    <mergeCell ref="L1:L2"/>
    <mergeCell ref="AF1:AF2"/>
  </mergeCells>
  <printOptions horizontalCentered="1" verticalCentered="1"/>
  <pageMargins left="0.25" right="0.25" top="2.32" bottom="0.5118110236220472" header="0.3" footer="0.5118110236220472"/>
  <pageSetup fitToHeight="1" fitToWidth="1" horizontalDpi="600" verticalDpi="600" orientation="portrait" paperSize="8" scale="64" r:id="rId1"/>
  <headerFooter alignWithMargins="0">
    <oddHeader>&amp;L&amp;9
&amp;C&amp;28&amp;UTABELLA  A2
ANTICIPAZIONI ANNO 2003
PERSONALE DELLE FORZE DI POLIZIA AD ORDINAMENTO MILITARE
&amp;18(Art. 5 comma 1)&amp;28
&amp;R
</oddHeader>
    <oddFooter>&amp;L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2">
    <pageSetUpPr fitToPage="1"/>
  </sheetPr>
  <dimension ref="A1:AG39"/>
  <sheetViews>
    <sheetView workbookViewId="0" topLeftCell="B2">
      <selection activeCell="AC8" sqref="AC8"/>
    </sheetView>
  </sheetViews>
  <sheetFormatPr defaultColWidth="9.140625" defaultRowHeight="12.75"/>
  <cols>
    <col min="1" max="1" width="67.421875" style="0" customWidth="1"/>
    <col min="2" max="2" width="61.57421875" style="0" customWidth="1"/>
    <col min="3" max="3" width="13.8515625" style="0" hidden="1" customWidth="1"/>
    <col min="4" max="4" width="9.8515625" style="0" hidden="1" customWidth="1"/>
    <col min="5" max="5" width="10.8515625" style="0" hidden="1" customWidth="1"/>
    <col min="6" max="6" width="11.7109375" style="0" hidden="1" customWidth="1"/>
    <col min="7" max="7" width="10.28125" style="0" hidden="1" customWidth="1"/>
    <col min="8" max="8" width="12.57421875" style="0" hidden="1" customWidth="1"/>
    <col min="9" max="9" width="16.57421875" style="0" hidden="1" customWidth="1"/>
    <col min="10" max="10" width="6.57421875" style="0" hidden="1" customWidth="1"/>
    <col min="11" max="11" width="4.8515625" style="0" hidden="1" customWidth="1"/>
    <col min="12" max="12" width="5.00390625" style="0" hidden="1" customWidth="1"/>
    <col min="13" max="13" width="5.8515625" style="0" hidden="1" customWidth="1"/>
    <col min="14" max="14" width="6.28125" style="0" hidden="1" customWidth="1"/>
    <col min="15" max="15" width="11.57421875" style="0" hidden="1" customWidth="1"/>
    <col min="16" max="16" width="11.421875" style="0" hidden="1" customWidth="1"/>
    <col min="17" max="17" width="10.140625" style="0" hidden="1" customWidth="1"/>
    <col min="18" max="18" width="15.7109375" style="0" hidden="1" customWidth="1"/>
    <col min="19" max="19" width="15.8515625" style="0" hidden="1" customWidth="1"/>
    <col min="20" max="20" width="12.28125" style="0" hidden="1" customWidth="1"/>
    <col min="21" max="21" width="15.57421875" style="0" hidden="1" customWidth="1"/>
    <col min="22" max="22" width="15.8515625" style="23" hidden="1" customWidth="1"/>
    <col min="23" max="23" width="14.57421875" style="0" hidden="1" customWidth="1"/>
    <col min="24" max="24" width="13.7109375" style="8" hidden="1" customWidth="1"/>
    <col min="25" max="25" width="21.57421875" style="141" hidden="1" customWidth="1"/>
    <col min="26" max="26" width="15.00390625" style="0" hidden="1" customWidth="1"/>
    <col min="27" max="27" width="22.7109375" style="93" hidden="1" customWidth="1"/>
    <col min="28" max="28" width="23.00390625" style="0" hidden="1" customWidth="1"/>
    <col min="29" max="29" width="23.00390625" style="0" customWidth="1"/>
    <col min="30" max="30" width="15.57421875" style="0" hidden="1" customWidth="1"/>
    <col min="31" max="31" width="15.421875" style="0" hidden="1" customWidth="1"/>
    <col min="32" max="32" width="22.00390625" style="0" hidden="1" customWidth="1"/>
    <col min="33" max="33" width="21.57421875" style="141" hidden="1" customWidth="1"/>
  </cols>
  <sheetData>
    <row r="1" spans="1:33" ht="51" customHeight="1">
      <c r="A1" s="194" t="s">
        <v>110</v>
      </c>
      <c r="B1" s="196" t="s">
        <v>80</v>
      </c>
      <c r="C1" s="180"/>
      <c r="D1" s="180"/>
      <c r="E1" s="180"/>
      <c r="F1" s="180"/>
      <c r="G1" s="180"/>
      <c r="H1" s="180"/>
      <c r="I1" s="180"/>
      <c r="J1" s="174" t="s">
        <v>0</v>
      </c>
      <c r="K1" s="174" t="s">
        <v>1</v>
      </c>
      <c r="L1" s="174" t="s">
        <v>2</v>
      </c>
      <c r="M1" s="175"/>
      <c r="N1" s="161"/>
      <c r="O1" s="167" t="s">
        <v>3</v>
      </c>
      <c r="P1" s="167" t="s">
        <v>4</v>
      </c>
      <c r="Q1" s="167" t="s">
        <v>5</v>
      </c>
      <c r="R1" s="167" t="s">
        <v>18</v>
      </c>
      <c r="S1" s="169" t="s">
        <v>19</v>
      </c>
      <c r="T1" s="170" t="s">
        <v>53</v>
      </c>
      <c r="U1" s="167" t="s">
        <v>22</v>
      </c>
      <c r="V1" s="177" t="s">
        <v>37</v>
      </c>
      <c r="W1" s="167" t="s">
        <v>51</v>
      </c>
      <c r="X1" s="167" t="s">
        <v>52</v>
      </c>
      <c r="Y1" s="148" t="s">
        <v>168</v>
      </c>
      <c r="Z1" s="167" t="s">
        <v>23</v>
      </c>
      <c r="AA1" s="148" t="s">
        <v>169</v>
      </c>
      <c r="AB1" s="148" t="s">
        <v>170</v>
      </c>
      <c r="AC1" s="148" t="s">
        <v>171</v>
      </c>
      <c r="AD1" s="167" t="s">
        <v>24</v>
      </c>
      <c r="AE1" s="167" t="s">
        <v>25</v>
      </c>
      <c r="AF1" s="167" t="s">
        <v>50</v>
      </c>
      <c r="AG1" s="148" t="s">
        <v>145</v>
      </c>
    </row>
    <row r="2" spans="1:33" ht="102" customHeight="1" thickBot="1">
      <c r="A2" s="195"/>
      <c r="B2" s="197"/>
      <c r="C2" s="43" t="s">
        <v>34</v>
      </c>
      <c r="D2" s="43" t="s">
        <v>35</v>
      </c>
      <c r="E2" s="43" t="s">
        <v>36</v>
      </c>
      <c r="F2" s="43" t="s">
        <v>54</v>
      </c>
      <c r="G2" s="43" t="s">
        <v>38</v>
      </c>
      <c r="H2" s="43" t="s">
        <v>39</v>
      </c>
      <c r="I2" s="39" t="s">
        <v>55</v>
      </c>
      <c r="J2" s="157"/>
      <c r="K2" s="157"/>
      <c r="L2" s="157"/>
      <c r="M2" s="176"/>
      <c r="N2" s="157"/>
      <c r="O2" s="168"/>
      <c r="P2" s="168"/>
      <c r="Q2" s="168"/>
      <c r="R2" s="168"/>
      <c r="S2" s="168"/>
      <c r="T2" s="171"/>
      <c r="U2" s="168"/>
      <c r="V2" s="178"/>
      <c r="W2" s="168"/>
      <c r="X2" s="168"/>
      <c r="Y2" s="149"/>
      <c r="Z2" s="168"/>
      <c r="AA2" s="149"/>
      <c r="AB2" s="149"/>
      <c r="AC2" s="171"/>
      <c r="AD2" s="168"/>
      <c r="AE2" s="168"/>
      <c r="AF2" s="168"/>
      <c r="AG2" s="149"/>
    </row>
    <row r="3" spans="1:33" ht="33" customHeight="1" thickBot="1">
      <c r="A3" s="1"/>
      <c r="B3" s="87" t="s">
        <v>111</v>
      </c>
      <c r="C3" s="40"/>
      <c r="D3" s="40"/>
      <c r="E3" s="40"/>
      <c r="F3" s="40"/>
      <c r="G3" s="40"/>
      <c r="H3" s="40"/>
      <c r="I3" s="38"/>
      <c r="J3" s="41"/>
      <c r="K3" s="41"/>
      <c r="L3" s="41"/>
      <c r="M3" s="41"/>
      <c r="N3" s="41"/>
      <c r="O3" s="42"/>
      <c r="P3" s="42"/>
      <c r="Q3" s="42"/>
      <c r="R3" s="42"/>
      <c r="S3" s="42"/>
      <c r="T3" s="42"/>
      <c r="U3" s="42"/>
      <c r="V3" s="85"/>
      <c r="W3" s="76"/>
      <c r="X3" s="25"/>
      <c r="Z3" s="8"/>
      <c r="AA3" s="142"/>
      <c r="AB3" s="131"/>
      <c r="AC3" s="131"/>
      <c r="AD3" s="8"/>
      <c r="AE3" s="8"/>
      <c r="AF3" s="8"/>
      <c r="AG3" s="135"/>
    </row>
    <row r="4" spans="1:33" ht="30.75" customHeight="1" thickBot="1">
      <c r="A4" s="114" t="s">
        <v>144</v>
      </c>
      <c r="B4" s="114" t="s">
        <v>143</v>
      </c>
      <c r="C4" s="31">
        <v>141</v>
      </c>
      <c r="D4" s="31">
        <v>3</v>
      </c>
      <c r="E4" s="31">
        <v>0</v>
      </c>
      <c r="F4" s="31">
        <v>65</v>
      </c>
      <c r="G4" s="31">
        <v>13</v>
      </c>
      <c r="H4" s="31">
        <v>920</v>
      </c>
      <c r="I4" s="36">
        <f>C4+D4+E4+F4+G4+H4</f>
        <v>1142</v>
      </c>
      <c r="J4" s="28" t="s">
        <v>16</v>
      </c>
      <c r="K4" s="6"/>
      <c r="L4" s="6"/>
      <c r="M4" s="10"/>
      <c r="N4" s="10"/>
      <c r="O4" s="16">
        <f>14437.35</f>
        <v>14437.35</v>
      </c>
      <c r="P4" s="16"/>
      <c r="Q4" s="16"/>
      <c r="R4" s="16"/>
      <c r="S4" s="16"/>
      <c r="T4" s="16">
        <v>6641.4</v>
      </c>
      <c r="U4" s="18">
        <f>SUM(O4:T4)</f>
        <v>21078.75</v>
      </c>
      <c r="V4" s="80">
        <v>151</v>
      </c>
      <c r="W4" s="73">
        <f>ROUND(X34*V4,2)</f>
        <v>22518.74</v>
      </c>
      <c r="X4" s="32">
        <f>W4-U4</f>
        <v>1439.9900000000016</v>
      </c>
      <c r="Y4" s="138">
        <f>X4*Q37/100</f>
        <v>384.8834071800004</v>
      </c>
      <c r="Z4" s="16">
        <f>ROUND(Y4/12,2)</f>
        <v>32.07</v>
      </c>
      <c r="AA4" s="18">
        <v>138.01</v>
      </c>
      <c r="AB4" s="18">
        <f>ROUND(Y4+Z4,2)</f>
        <v>416.95</v>
      </c>
      <c r="AC4" s="18">
        <v>500.18</v>
      </c>
      <c r="AD4" s="16">
        <f>ROUND(AB4*0.3838,2)</f>
        <v>160.03</v>
      </c>
      <c r="AE4" s="55">
        <f>AB4+AD4</f>
        <v>576.98</v>
      </c>
      <c r="AF4" s="58">
        <f>ROUND(AE4*I4,2)</f>
        <v>658911.16</v>
      </c>
      <c r="AG4" s="138">
        <f>ROUND(Y4/12,2)</f>
        <v>32.07</v>
      </c>
    </row>
    <row r="5" spans="1:33" ht="17.25" customHeight="1" thickBot="1">
      <c r="A5" s="1" t="s">
        <v>81</v>
      </c>
      <c r="B5" s="1" t="s">
        <v>81</v>
      </c>
      <c r="C5" s="2">
        <v>15</v>
      </c>
      <c r="D5" s="2">
        <v>1</v>
      </c>
      <c r="E5" s="2">
        <v>5981</v>
      </c>
      <c r="F5" s="2">
        <v>755</v>
      </c>
      <c r="G5" s="2">
        <v>490</v>
      </c>
      <c r="H5" s="2">
        <v>773</v>
      </c>
      <c r="I5" s="35">
        <f>C5+D5+E5+F5+G5+H5</f>
        <v>8015</v>
      </c>
      <c r="J5" s="13" t="s">
        <v>17</v>
      </c>
      <c r="K5" s="3">
        <v>1</v>
      </c>
      <c r="L5" s="3"/>
      <c r="M5" s="9">
        <f>IF(K5=1,0.025,0.05)</f>
        <v>0.025</v>
      </c>
      <c r="N5" s="9"/>
      <c r="O5" s="15">
        <f>12643.32</f>
        <v>12643.32</v>
      </c>
      <c r="P5" s="15">
        <f>(O5)*M5</f>
        <v>316.083</v>
      </c>
      <c r="Q5" s="15"/>
      <c r="R5" s="15"/>
      <c r="S5" s="15"/>
      <c r="T5" s="15">
        <v>6545.28</v>
      </c>
      <c r="U5" s="18">
        <f>SUM(O5:T5)</f>
        <v>19504.683</v>
      </c>
      <c r="V5" s="81">
        <v>145</v>
      </c>
      <c r="W5" s="14">
        <f>ROUND(X34*V5,2)</f>
        <v>21623.95</v>
      </c>
      <c r="X5" s="30">
        <f>W5-U5</f>
        <v>2119.267</v>
      </c>
      <c r="Y5" s="138">
        <f>X5*Q37/100</f>
        <v>566.4419222939999</v>
      </c>
      <c r="Z5" s="16">
        <f>ROUND(Y5/12,2)</f>
        <v>47.2</v>
      </c>
      <c r="AA5" s="18">
        <v>203.11</v>
      </c>
      <c r="AB5" s="18">
        <f>ROUND(Y5+Z5,2)</f>
        <v>613.64</v>
      </c>
      <c r="AC5" s="18">
        <v>791.59</v>
      </c>
      <c r="AD5" s="16">
        <f>ROUND(AB5*0.3838,2)</f>
        <v>235.52</v>
      </c>
      <c r="AE5" s="56">
        <f>AB5+AD5</f>
        <v>849.16</v>
      </c>
      <c r="AF5" s="58">
        <f>ROUND(AE5*I5,2)</f>
        <v>6806017.4</v>
      </c>
      <c r="AG5" s="138">
        <f>ROUND(Y5/12,2)</f>
        <v>47.2</v>
      </c>
    </row>
    <row r="6" spans="1:33" ht="17.25" customHeight="1" thickBot="1">
      <c r="A6" s="1" t="s">
        <v>82</v>
      </c>
      <c r="B6" s="1" t="s">
        <v>82</v>
      </c>
      <c r="C6" s="2">
        <v>0</v>
      </c>
      <c r="D6" s="2">
        <v>6</v>
      </c>
      <c r="E6" s="2">
        <v>3460</v>
      </c>
      <c r="F6" s="2">
        <v>383</v>
      </c>
      <c r="G6" s="2">
        <v>752</v>
      </c>
      <c r="H6" s="2">
        <v>0</v>
      </c>
      <c r="I6" s="35">
        <f>C6+D6+E6+F6+G6+H6</f>
        <v>4601</v>
      </c>
      <c r="J6" s="13" t="s">
        <v>17</v>
      </c>
      <c r="K6" s="3"/>
      <c r="L6" s="3"/>
      <c r="M6" s="9"/>
      <c r="N6" s="9"/>
      <c r="O6" s="15">
        <f>12643.32</f>
        <v>12643.32</v>
      </c>
      <c r="P6" s="15"/>
      <c r="Q6" s="15"/>
      <c r="R6" s="15"/>
      <c r="S6" s="15"/>
      <c r="T6" s="15">
        <v>6545.28</v>
      </c>
      <c r="U6" s="18">
        <f>SUM(O6:T6)</f>
        <v>19188.6</v>
      </c>
      <c r="V6" s="81">
        <v>139</v>
      </c>
      <c r="W6" s="14">
        <f>ROUND(X34*V6,2)</f>
        <v>20729.17</v>
      </c>
      <c r="X6" s="30">
        <f>W6-U6</f>
        <v>1540.5699999999997</v>
      </c>
      <c r="Y6" s="138">
        <f>X6*Q37/100</f>
        <v>411.76663074</v>
      </c>
      <c r="Z6" s="16">
        <f>ROUND(Y6/12,2)</f>
        <v>34.31</v>
      </c>
      <c r="AA6" s="18">
        <v>147.65</v>
      </c>
      <c r="AB6" s="18">
        <f>ROUND(Y6+Z6,2)</f>
        <v>446.08</v>
      </c>
      <c r="AC6" s="18">
        <v>596.64</v>
      </c>
      <c r="AD6" s="16">
        <f>ROUND(AB6*0.3838,2)</f>
        <v>171.21</v>
      </c>
      <c r="AE6" s="56">
        <f>AB6+AD6</f>
        <v>617.29</v>
      </c>
      <c r="AF6" s="58">
        <f>ROUND(AE6*I6,2)</f>
        <v>2840151.29</v>
      </c>
      <c r="AG6" s="138">
        <f>ROUND(Y6/12,2)</f>
        <v>34.31</v>
      </c>
    </row>
    <row r="7" spans="1:33" ht="17.25" customHeight="1" thickBot="1">
      <c r="A7" s="1" t="s">
        <v>83</v>
      </c>
      <c r="B7" s="1" t="s">
        <v>83</v>
      </c>
      <c r="C7" s="5">
        <v>0</v>
      </c>
      <c r="D7" s="5">
        <v>45</v>
      </c>
      <c r="E7" s="5">
        <v>1359</v>
      </c>
      <c r="F7" s="5">
        <v>105</v>
      </c>
      <c r="G7" s="5">
        <v>390</v>
      </c>
      <c r="H7" s="5">
        <v>0</v>
      </c>
      <c r="I7" s="37">
        <f>C7+D7+E7+F7+G7+H7</f>
        <v>1899</v>
      </c>
      <c r="J7" s="45" t="s">
        <v>8</v>
      </c>
      <c r="K7" s="46"/>
      <c r="L7" s="46"/>
      <c r="M7" s="47"/>
      <c r="N7" s="47"/>
      <c r="O7" s="48">
        <f>11861.89</f>
        <v>11861.89</v>
      </c>
      <c r="P7" s="48"/>
      <c r="Q7" s="48"/>
      <c r="R7" s="48"/>
      <c r="S7" s="48"/>
      <c r="T7" s="14">
        <v>6495.48</v>
      </c>
      <c r="U7" s="71">
        <f>SUM(O7:T7)</f>
        <v>18357.37</v>
      </c>
      <c r="V7" s="82">
        <v>133.25</v>
      </c>
      <c r="W7" s="14">
        <f>ROUND(X34*V7,2)</f>
        <v>19871.67</v>
      </c>
      <c r="X7" s="34">
        <f>W7-U7</f>
        <v>1514.2999999999993</v>
      </c>
      <c r="Y7" s="138">
        <f>X7*Q37/100</f>
        <v>404.74513259999986</v>
      </c>
      <c r="Z7" s="16">
        <f>ROUND(Y7/12,2)</f>
        <v>33.73</v>
      </c>
      <c r="AA7" s="18">
        <v>145.13</v>
      </c>
      <c r="AB7" s="18">
        <f>ROUND(Y7+Z7,2)</f>
        <v>438.48</v>
      </c>
      <c r="AC7" s="18">
        <v>586.44</v>
      </c>
      <c r="AD7" s="16">
        <f>ROUND(AB7*0.3838,2)</f>
        <v>168.29</v>
      </c>
      <c r="AE7" s="57">
        <f>AB7+AD7</f>
        <v>606.77</v>
      </c>
      <c r="AF7" s="58">
        <f>ROUND(AE7*I7,2)</f>
        <v>1152256.23</v>
      </c>
      <c r="AG7" s="138">
        <f>ROUND(Y7/12,2)</f>
        <v>33.73</v>
      </c>
    </row>
    <row r="8" spans="1:33" ht="25.5" customHeight="1" thickBot="1">
      <c r="A8" s="1"/>
      <c r="B8" s="89" t="s">
        <v>112</v>
      </c>
      <c r="C8" s="26"/>
      <c r="D8" s="26"/>
      <c r="E8" s="27"/>
      <c r="F8" s="27"/>
      <c r="G8" s="26"/>
      <c r="H8" s="26"/>
      <c r="I8" s="27"/>
      <c r="J8" s="24"/>
      <c r="K8" s="52"/>
      <c r="L8" s="52"/>
      <c r="M8" s="53"/>
      <c r="N8" s="53"/>
      <c r="O8" s="54"/>
      <c r="P8" s="54"/>
      <c r="Q8" s="54"/>
      <c r="R8" s="54"/>
      <c r="S8" s="54"/>
      <c r="T8" s="62"/>
      <c r="U8" s="72"/>
      <c r="V8" s="62"/>
      <c r="W8" s="62"/>
      <c r="X8" s="75"/>
      <c r="Y8" s="139"/>
      <c r="Z8" s="20"/>
      <c r="AA8" s="21"/>
      <c r="AB8" s="21"/>
      <c r="AC8" s="21"/>
      <c r="AD8" s="20"/>
      <c r="AE8" s="20"/>
      <c r="AF8" s="21"/>
      <c r="AG8" s="139"/>
    </row>
    <row r="9" spans="1:33" ht="27.75" customHeight="1" thickBot="1">
      <c r="A9" s="1" t="s">
        <v>113</v>
      </c>
      <c r="B9" s="90" t="s">
        <v>113</v>
      </c>
      <c r="C9" s="31">
        <v>124</v>
      </c>
      <c r="D9" s="31">
        <v>115</v>
      </c>
      <c r="E9" s="31">
        <v>2564</v>
      </c>
      <c r="F9" s="31">
        <v>1871</v>
      </c>
      <c r="G9" s="31">
        <v>2396</v>
      </c>
      <c r="H9" s="31">
        <v>2670</v>
      </c>
      <c r="I9" s="36">
        <f aca="true" t="shared" si="0" ref="I9:I18">C9+D9+E9+F9+G9+H9</f>
        <v>9740</v>
      </c>
      <c r="J9" s="161" t="s">
        <v>8</v>
      </c>
      <c r="K9" s="49"/>
      <c r="L9" s="49">
        <v>2</v>
      </c>
      <c r="M9" s="49"/>
      <c r="N9" s="50">
        <f>IF(L9=1,0.025,0.05)</f>
        <v>0.05</v>
      </c>
      <c r="O9" s="51">
        <f>11861.89</f>
        <v>11861.89</v>
      </c>
      <c r="P9" s="51"/>
      <c r="Q9" s="51">
        <f>(O9)*N9</f>
        <v>593.0945</v>
      </c>
      <c r="R9" s="44"/>
      <c r="S9" s="51">
        <v>781.43</v>
      </c>
      <c r="T9" s="14">
        <v>6495.48</v>
      </c>
      <c r="U9" s="70">
        <f aca="true" t="shared" si="1" ref="U9:U18">SUM(O9:T9)</f>
        <v>19731.8945</v>
      </c>
      <c r="V9" s="83">
        <v>139</v>
      </c>
      <c r="W9" s="73">
        <f>ROUND(X34*V9,2)</f>
        <v>20729.17</v>
      </c>
      <c r="X9" s="74">
        <f aca="true" t="shared" si="2" ref="X9:X18">W9-U9</f>
        <v>997.2754999999997</v>
      </c>
      <c r="Y9" s="138">
        <f>X9*Q37/100</f>
        <v>266.55379019099996</v>
      </c>
      <c r="Z9" s="16">
        <f aca="true" t="shared" si="3" ref="Z9:Z18">ROUND(Y9/12,2)</f>
        <v>22.21</v>
      </c>
      <c r="AA9" s="18">
        <v>95.58</v>
      </c>
      <c r="AB9" s="18">
        <f aca="true" t="shared" si="4" ref="AB9:AB18">ROUND(Y9+Z9,2)</f>
        <v>288.76</v>
      </c>
      <c r="AC9" s="18">
        <v>386.6</v>
      </c>
      <c r="AD9" s="16">
        <f aca="true" t="shared" si="5" ref="AD9:AD18">ROUND(AB9*0.3838,2)</f>
        <v>110.83</v>
      </c>
      <c r="AE9" s="55">
        <f aca="true" t="shared" si="6" ref="AE9:AE18">AB9+AD9</f>
        <v>399.59</v>
      </c>
      <c r="AF9" s="58">
        <f aca="true" t="shared" si="7" ref="AF9:AF18">ROUND(AE9*I9,2)</f>
        <v>3892006.6</v>
      </c>
      <c r="AG9" s="138">
        <f aca="true" t="shared" si="8" ref="AG9:AG18">ROUND(Y9/12,2)</f>
        <v>22.21</v>
      </c>
    </row>
    <row r="10" spans="1:33" ht="30" customHeight="1" thickBot="1">
      <c r="A10" s="123" t="s">
        <v>114</v>
      </c>
      <c r="B10" s="182" t="s">
        <v>162</v>
      </c>
      <c r="C10" s="2">
        <v>246</v>
      </c>
      <c r="D10" s="2">
        <v>139</v>
      </c>
      <c r="E10" s="2">
        <v>7096</v>
      </c>
      <c r="F10" s="2">
        <v>4030</v>
      </c>
      <c r="G10" s="2">
        <v>6556</v>
      </c>
      <c r="H10" s="2">
        <v>2653</v>
      </c>
      <c r="I10" s="35">
        <f t="shared" si="0"/>
        <v>20720</v>
      </c>
      <c r="J10" s="156"/>
      <c r="K10" s="3"/>
      <c r="L10" s="3">
        <v>1</v>
      </c>
      <c r="M10" s="3"/>
      <c r="N10" s="9">
        <f>IF(L10=1,0.025,0.05)</f>
        <v>0.025</v>
      </c>
      <c r="O10" s="15">
        <f>11861.89</f>
        <v>11861.89</v>
      </c>
      <c r="P10" s="15"/>
      <c r="Q10" s="15">
        <f>(O10)*N10</f>
        <v>296.54725</v>
      </c>
      <c r="R10" s="17"/>
      <c r="S10" s="15">
        <v>781.43</v>
      </c>
      <c r="T10" s="14">
        <v>6495.48</v>
      </c>
      <c r="U10" s="18">
        <f t="shared" si="1"/>
        <v>19435.34725</v>
      </c>
      <c r="V10" s="164">
        <v>135.5</v>
      </c>
      <c r="W10" s="73">
        <f>ROUND(X34*V10,2)</f>
        <v>20207.21</v>
      </c>
      <c r="X10" s="30">
        <f t="shared" si="2"/>
        <v>771.8627500000002</v>
      </c>
      <c r="Y10" s="138">
        <f>X10*Q37/100</f>
        <v>206.30501954550007</v>
      </c>
      <c r="Z10" s="16">
        <f t="shared" si="3"/>
        <v>17.19</v>
      </c>
      <c r="AA10" s="18">
        <v>73.97</v>
      </c>
      <c r="AB10" s="18">
        <f t="shared" si="4"/>
        <v>223.5</v>
      </c>
      <c r="AC10" s="18">
        <v>299.42</v>
      </c>
      <c r="AD10" s="16">
        <f t="shared" si="5"/>
        <v>85.78</v>
      </c>
      <c r="AE10" s="56">
        <f t="shared" si="6"/>
        <v>309.28</v>
      </c>
      <c r="AF10" s="58">
        <f t="shared" si="7"/>
        <v>6408281.6</v>
      </c>
      <c r="AG10" s="138">
        <f t="shared" si="8"/>
        <v>17.19</v>
      </c>
    </row>
    <row r="11" spans="1:33" ht="28.5" customHeight="1" thickBot="1">
      <c r="A11" s="123" t="s">
        <v>115</v>
      </c>
      <c r="B11" s="182"/>
      <c r="C11" s="2">
        <v>0</v>
      </c>
      <c r="D11" s="2">
        <v>0</v>
      </c>
      <c r="E11" s="2">
        <v>3553</v>
      </c>
      <c r="F11" s="2">
        <v>0</v>
      </c>
      <c r="G11" s="2">
        <v>32</v>
      </c>
      <c r="H11" s="2">
        <v>0</v>
      </c>
      <c r="I11" s="35">
        <f t="shared" si="0"/>
        <v>3585</v>
      </c>
      <c r="J11" s="156"/>
      <c r="K11" s="3"/>
      <c r="L11" s="3"/>
      <c r="M11" s="3"/>
      <c r="N11" s="9"/>
      <c r="O11" s="15">
        <f>11861.89</f>
        <v>11861.89</v>
      </c>
      <c r="P11" s="15"/>
      <c r="Q11" s="15"/>
      <c r="R11" s="17"/>
      <c r="S11" s="15">
        <v>781.43</v>
      </c>
      <c r="T11" s="14">
        <v>6495.48</v>
      </c>
      <c r="U11" s="18">
        <f t="shared" si="1"/>
        <v>19138.8</v>
      </c>
      <c r="V11" s="165"/>
      <c r="W11" s="73">
        <f>ROUND(X34*V10,2)</f>
        <v>20207.21</v>
      </c>
      <c r="X11" s="30">
        <f t="shared" si="2"/>
        <v>1068.4099999999999</v>
      </c>
      <c r="Y11" s="138">
        <f>X11*Q37/100</f>
        <v>285.56676161999997</v>
      </c>
      <c r="Z11" s="16">
        <f t="shared" si="3"/>
        <v>23.8</v>
      </c>
      <c r="AA11" s="18">
        <v>102.4</v>
      </c>
      <c r="AB11" s="18">
        <f t="shared" si="4"/>
        <v>309.37</v>
      </c>
      <c r="AC11" s="18">
        <v>414.07</v>
      </c>
      <c r="AD11" s="16">
        <f t="shared" si="5"/>
        <v>118.74</v>
      </c>
      <c r="AE11" s="56">
        <f t="shared" si="6"/>
        <v>428.11</v>
      </c>
      <c r="AF11" s="58">
        <f t="shared" si="7"/>
        <v>1534774.35</v>
      </c>
      <c r="AG11" s="138">
        <f t="shared" si="8"/>
        <v>23.8</v>
      </c>
    </row>
    <row r="12" spans="1:33" ht="28.5" customHeight="1" thickBot="1">
      <c r="A12" s="123" t="s">
        <v>116</v>
      </c>
      <c r="B12" s="182"/>
      <c r="C12" s="2">
        <v>120</v>
      </c>
      <c r="D12" s="2">
        <v>93</v>
      </c>
      <c r="E12" s="2">
        <v>0</v>
      </c>
      <c r="F12" s="2">
        <v>1452</v>
      </c>
      <c r="G12" s="2">
        <v>1000</v>
      </c>
      <c r="H12" s="2">
        <v>346</v>
      </c>
      <c r="I12" s="35">
        <f t="shared" si="0"/>
        <v>3011</v>
      </c>
      <c r="J12" s="156"/>
      <c r="K12" s="3"/>
      <c r="L12" s="3">
        <v>1</v>
      </c>
      <c r="M12" s="3"/>
      <c r="N12" s="9">
        <f>IF(L12=1,0.025,0.05)</f>
        <v>0.025</v>
      </c>
      <c r="O12" s="15">
        <f>11861.89</f>
        <v>11861.89</v>
      </c>
      <c r="P12" s="15"/>
      <c r="Q12" s="15">
        <f>(O12)*N12</f>
        <v>296.54725</v>
      </c>
      <c r="R12" s="17"/>
      <c r="S12" s="15"/>
      <c r="T12" s="14">
        <v>6495.48</v>
      </c>
      <c r="U12" s="18">
        <f t="shared" si="1"/>
        <v>18653.91725</v>
      </c>
      <c r="V12" s="166"/>
      <c r="W12" s="73">
        <f>ROUND(X34*V10,2)</f>
        <v>20207.21</v>
      </c>
      <c r="X12" s="30">
        <f t="shared" si="2"/>
        <v>1553.2927500000005</v>
      </c>
      <c r="Y12" s="138">
        <f>X12*Q37/100</f>
        <v>415.1671928055002</v>
      </c>
      <c r="Z12" s="16">
        <f t="shared" si="3"/>
        <v>34.6</v>
      </c>
      <c r="AA12" s="18">
        <v>148.87</v>
      </c>
      <c r="AB12" s="18">
        <f t="shared" si="4"/>
        <v>449.77</v>
      </c>
      <c r="AC12" s="18">
        <v>601.53</v>
      </c>
      <c r="AD12" s="16">
        <f t="shared" si="5"/>
        <v>172.62</v>
      </c>
      <c r="AE12" s="56">
        <f t="shared" si="6"/>
        <v>622.39</v>
      </c>
      <c r="AF12" s="58">
        <f t="shared" si="7"/>
        <v>1874016.29</v>
      </c>
      <c r="AG12" s="138">
        <f t="shared" si="8"/>
        <v>34.6</v>
      </c>
    </row>
    <row r="13" spans="1:33" s="8" customFormat="1" ht="41.25" customHeight="1" thickBot="1">
      <c r="A13" s="123" t="s">
        <v>141</v>
      </c>
      <c r="B13" s="123" t="s">
        <v>142</v>
      </c>
      <c r="C13" s="2">
        <v>29</v>
      </c>
      <c r="D13" s="2">
        <v>0</v>
      </c>
      <c r="E13" s="2">
        <v>1774</v>
      </c>
      <c r="F13" s="2">
        <v>547</v>
      </c>
      <c r="G13" s="2">
        <v>324</v>
      </c>
      <c r="H13" s="2">
        <v>272</v>
      </c>
      <c r="I13" s="35">
        <f t="shared" si="0"/>
        <v>2946</v>
      </c>
      <c r="J13" s="156"/>
      <c r="K13" s="3"/>
      <c r="L13" s="3"/>
      <c r="M13" s="3"/>
      <c r="N13" s="9"/>
      <c r="O13" s="15">
        <f>11861.89</f>
        <v>11861.89</v>
      </c>
      <c r="P13" s="15"/>
      <c r="Q13" s="15"/>
      <c r="R13" s="15"/>
      <c r="S13" s="15"/>
      <c r="T13" s="14">
        <v>6495.48</v>
      </c>
      <c r="U13" s="18">
        <f t="shared" si="1"/>
        <v>18357.37</v>
      </c>
      <c r="V13" s="81">
        <v>133</v>
      </c>
      <c r="W13" s="73">
        <f>ROUND(X34*V13,2)</f>
        <v>19834.38</v>
      </c>
      <c r="X13" s="30">
        <f t="shared" si="2"/>
        <v>1477.010000000002</v>
      </c>
      <c r="Y13" s="138">
        <f>X13*Q37/100</f>
        <v>394.77818682000054</v>
      </c>
      <c r="Z13" s="16">
        <f t="shared" si="3"/>
        <v>32.9</v>
      </c>
      <c r="AA13" s="18">
        <v>141.56</v>
      </c>
      <c r="AB13" s="18">
        <f t="shared" si="4"/>
        <v>427.68</v>
      </c>
      <c r="AC13" s="18">
        <v>572.02</v>
      </c>
      <c r="AD13" s="16">
        <f t="shared" si="5"/>
        <v>164.14</v>
      </c>
      <c r="AE13" s="56">
        <f t="shared" si="6"/>
        <v>591.8199999999999</v>
      </c>
      <c r="AF13" s="58">
        <f t="shared" si="7"/>
        <v>1743501.72</v>
      </c>
      <c r="AG13" s="138">
        <f t="shared" si="8"/>
        <v>32.9</v>
      </c>
    </row>
    <row r="14" spans="1:33" ht="24.75" customHeight="1" thickBot="1">
      <c r="A14" s="91" t="s">
        <v>117</v>
      </c>
      <c r="B14" s="90" t="s">
        <v>85</v>
      </c>
      <c r="C14" s="2">
        <v>717</v>
      </c>
      <c r="D14" s="2">
        <v>1132</v>
      </c>
      <c r="E14" s="2">
        <v>24148</v>
      </c>
      <c r="F14" s="2">
        <v>7716</v>
      </c>
      <c r="G14" s="2">
        <v>11836</v>
      </c>
      <c r="H14" s="2">
        <v>12307</v>
      </c>
      <c r="I14" s="35">
        <f t="shared" si="0"/>
        <v>57856</v>
      </c>
      <c r="J14" s="13" t="s">
        <v>26</v>
      </c>
      <c r="K14" s="3"/>
      <c r="L14" s="3"/>
      <c r="M14" s="3"/>
      <c r="N14" s="9"/>
      <c r="O14" s="15">
        <f>11082.86</f>
        <v>11082.86</v>
      </c>
      <c r="P14" s="15"/>
      <c r="Q14" s="15"/>
      <c r="R14" s="15"/>
      <c r="S14" s="15"/>
      <c r="T14" s="15">
        <v>6445.8</v>
      </c>
      <c r="U14" s="18">
        <f t="shared" si="1"/>
        <v>17528.66</v>
      </c>
      <c r="V14" s="81">
        <v>128</v>
      </c>
      <c r="W14" s="73">
        <f>ROUND(X34*V14,2)</f>
        <v>19088.73</v>
      </c>
      <c r="X14" s="30">
        <f t="shared" si="2"/>
        <v>1560.0699999999997</v>
      </c>
      <c r="Y14" s="138">
        <f>X14*Q37/100</f>
        <v>416.97862974</v>
      </c>
      <c r="Z14" s="16">
        <f t="shared" si="3"/>
        <v>34.75</v>
      </c>
      <c r="AA14" s="18">
        <v>149.51</v>
      </c>
      <c r="AB14" s="18">
        <f t="shared" si="4"/>
        <v>451.73</v>
      </c>
      <c r="AC14" s="18">
        <v>604.1</v>
      </c>
      <c r="AD14" s="16">
        <f t="shared" si="5"/>
        <v>173.37</v>
      </c>
      <c r="AE14" s="56">
        <f t="shared" si="6"/>
        <v>625.1</v>
      </c>
      <c r="AF14" s="58">
        <f t="shared" si="7"/>
        <v>36165785.6</v>
      </c>
      <c r="AG14" s="138">
        <f t="shared" si="8"/>
        <v>34.75</v>
      </c>
    </row>
    <row r="15" spans="1:33" ht="22.5" customHeight="1" thickBot="1">
      <c r="A15" s="91" t="s">
        <v>118</v>
      </c>
      <c r="B15" s="179" t="s">
        <v>161</v>
      </c>
      <c r="C15" s="2">
        <v>3</v>
      </c>
      <c r="D15" s="2">
        <v>634</v>
      </c>
      <c r="E15" s="2">
        <v>15878</v>
      </c>
      <c r="F15" s="2">
        <v>5107</v>
      </c>
      <c r="G15" s="2">
        <v>4300</v>
      </c>
      <c r="H15" s="2">
        <v>2268</v>
      </c>
      <c r="I15" s="35">
        <f t="shared" si="0"/>
        <v>28190</v>
      </c>
      <c r="J15" s="156" t="s">
        <v>9</v>
      </c>
      <c r="K15" s="3">
        <v>1</v>
      </c>
      <c r="L15" s="3"/>
      <c r="M15" s="9">
        <f>IF(K15=1,0.025,0.05)</f>
        <v>0.025</v>
      </c>
      <c r="N15" s="9"/>
      <c r="O15" s="15">
        <f>10379.57</f>
        <v>10379.57</v>
      </c>
      <c r="P15" s="15">
        <f>(O15)*M15</f>
        <v>259.48925</v>
      </c>
      <c r="Q15" s="15"/>
      <c r="R15" s="15">
        <v>258.23</v>
      </c>
      <c r="S15" s="15"/>
      <c r="T15" s="15">
        <v>6408.48</v>
      </c>
      <c r="U15" s="18">
        <f t="shared" si="1"/>
        <v>17305.769249999998</v>
      </c>
      <c r="V15" s="154">
        <v>124</v>
      </c>
      <c r="W15" s="73">
        <f>ROUND(X34*V15,2)</f>
        <v>18492.21</v>
      </c>
      <c r="X15" s="30">
        <f t="shared" si="2"/>
        <v>1186.4407500000016</v>
      </c>
      <c r="Y15" s="138">
        <f>X15*Q37/100</f>
        <v>317.1142565415004</v>
      </c>
      <c r="Z15" s="16">
        <f t="shared" si="3"/>
        <v>26.43</v>
      </c>
      <c r="AA15" s="18">
        <v>113.71</v>
      </c>
      <c r="AB15" s="18">
        <f t="shared" si="4"/>
        <v>343.54</v>
      </c>
      <c r="AC15" s="18">
        <v>459.62</v>
      </c>
      <c r="AD15" s="16">
        <f t="shared" si="5"/>
        <v>131.85</v>
      </c>
      <c r="AE15" s="56">
        <f t="shared" si="6"/>
        <v>475.39</v>
      </c>
      <c r="AF15" s="58">
        <f t="shared" si="7"/>
        <v>13401244.1</v>
      </c>
      <c r="AG15" s="138">
        <f t="shared" si="8"/>
        <v>26.43</v>
      </c>
    </row>
    <row r="16" spans="1:33" ht="21" customHeight="1" thickBot="1">
      <c r="A16" s="91" t="s">
        <v>119</v>
      </c>
      <c r="B16" s="179"/>
      <c r="C16" s="2">
        <v>300</v>
      </c>
      <c r="D16" s="2">
        <v>320</v>
      </c>
      <c r="E16" s="2">
        <v>10586</v>
      </c>
      <c r="F16" s="2">
        <v>1400</v>
      </c>
      <c r="G16" s="2">
        <v>1591</v>
      </c>
      <c r="H16" s="2">
        <v>10</v>
      </c>
      <c r="I16" s="35">
        <f t="shared" si="0"/>
        <v>14207</v>
      </c>
      <c r="J16" s="156"/>
      <c r="K16" s="3">
        <v>1</v>
      </c>
      <c r="L16" s="3"/>
      <c r="M16" s="9">
        <f>IF(K16=1,0.025,0.05)</f>
        <v>0.025</v>
      </c>
      <c r="N16" s="9"/>
      <c r="O16" s="15">
        <f>10379.57</f>
        <v>10379.57</v>
      </c>
      <c r="P16" s="15">
        <f>(O16)*M16</f>
        <v>259.48925</v>
      </c>
      <c r="Q16" s="15"/>
      <c r="R16" s="15"/>
      <c r="S16" s="15"/>
      <c r="T16" s="15">
        <v>6408.48</v>
      </c>
      <c r="U16" s="18">
        <f t="shared" si="1"/>
        <v>17047.53925</v>
      </c>
      <c r="V16" s="155"/>
      <c r="W16" s="73">
        <f>ROUND(X34*V15,2)</f>
        <v>18492.21</v>
      </c>
      <c r="X16" s="30">
        <f t="shared" si="2"/>
        <v>1444.6707499999975</v>
      </c>
      <c r="Y16" s="138">
        <f>X16*Q37/100</f>
        <v>386.13448740149937</v>
      </c>
      <c r="Z16" s="16">
        <f t="shared" si="3"/>
        <v>32.18</v>
      </c>
      <c r="AA16" s="18">
        <v>138.46</v>
      </c>
      <c r="AB16" s="18">
        <f t="shared" si="4"/>
        <v>418.31</v>
      </c>
      <c r="AC16" s="18">
        <v>559.45</v>
      </c>
      <c r="AD16" s="16">
        <f t="shared" si="5"/>
        <v>160.55</v>
      </c>
      <c r="AE16" s="56">
        <f t="shared" si="6"/>
        <v>578.86</v>
      </c>
      <c r="AF16" s="58">
        <f t="shared" si="7"/>
        <v>8223864.02</v>
      </c>
      <c r="AG16" s="138">
        <f t="shared" si="8"/>
        <v>32.18</v>
      </c>
    </row>
    <row r="17" spans="1:33" ht="22.5" customHeight="1" thickBot="1">
      <c r="A17" s="91" t="s">
        <v>120</v>
      </c>
      <c r="B17" s="179" t="s">
        <v>121</v>
      </c>
      <c r="C17" s="2">
        <v>0</v>
      </c>
      <c r="D17" s="2">
        <v>167</v>
      </c>
      <c r="E17" s="2">
        <v>1614</v>
      </c>
      <c r="F17" s="2">
        <v>2</v>
      </c>
      <c r="G17" s="2">
        <v>411</v>
      </c>
      <c r="H17" s="2">
        <v>65</v>
      </c>
      <c r="I17" s="35">
        <f t="shared" si="0"/>
        <v>2259</v>
      </c>
      <c r="J17" s="156" t="s">
        <v>7</v>
      </c>
      <c r="K17" s="3">
        <v>2</v>
      </c>
      <c r="L17" s="3"/>
      <c r="M17" s="9">
        <f>IF(K17=1,0.025,0.05)</f>
        <v>0.05</v>
      </c>
      <c r="N17" s="9"/>
      <c r="O17" s="15">
        <f>9675.07</f>
        <v>9675.07</v>
      </c>
      <c r="P17" s="15">
        <f>(O17)*M17</f>
        <v>483.75350000000003</v>
      </c>
      <c r="Q17" s="15"/>
      <c r="R17" s="15">
        <v>258.23</v>
      </c>
      <c r="S17" s="15"/>
      <c r="T17" s="15">
        <v>6371.04</v>
      </c>
      <c r="U17" s="18">
        <f t="shared" si="1"/>
        <v>16788.0935</v>
      </c>
      <c r="V17" s="154">
        <v>120.75</v>
      </c>
      <c r="W17" s="73">
        <f>ROUND(X34*V17,2)</f>
        <v>18007.53</v>
      </c>
      <c r="X17" s="30">
        <f t="shared" si="2"/>
        <v>1219.4364999999998</v>
      </c>
      <c r="Y17" s="138">
        <f>X17*Q37/100</f>
        <v>325.933426593</v>
      </c>
      <c r="Z17" s="16">
        <f t="shared" si="3"/>
        <v>27.16</v>
      </c>
      <c r="AA17" s="18">
        <v>116.87</v>
      </c>
      <c r="AB17" s="18">
        <f t="shared" si="4"/>
        <v>353.09</v>
      </c>
      <c r="AC17" s="18">
        <v>472.35</v>
      </c>
      <c r="AD17" s="16">
        <f t="shared" si="5"/>
        <v>135.52</v>
      </c>
      <c r="AE17" s="56">
        <f t="shared" si="6"/>
        <v>488.61</v>
      </c>
      <c r="AF17" s="58">
        <f t="shared" si="7"/>
        <v>1103769.99</v>
      </c>
      <c r="AG17" s="138">
        <f t="shared" si="8"/>
        <v>27.16</v>
      </c>
    </row>
    <row r="18" spans="1:33" ht="21.75" customHeight="1" thickBot="1">
      <c r="A18" s="91" t="s">
        <v>122</v>
      </c>
      <c r="B18" s="179"/>
      <c r="C18" s="5">
        <v>0</v>
      </c>
      <c r="D18" s="5">
        <v>22</v>
      </c>
      <c r="E18" s="5">
        <v>1614</v>
      </c>
      <c r="F18" s="5">
        <v>0</v>
      </c>
      <c r="G18" s="5">
        <v>408</v>
      </c>
      <c r="H18" s="5">
        <v>0</v>
      </c>
      <c r="I18" s="37">
        <f t="shared" si="0"/>
        <v>2044</v>
      </c>
      <c r="J18" s="157"/>
      <c r="K18" s="7">
        <v>2</v>
      </c>
      <c r="L18" s="7"/>
      <c r="M18" s="11">
        <f>IF(K18=1,0.025,0.05)</f>
        <v>0.05</v>
      </c>
      <c r="N18" s="11"/>
      <c r="O18" s="14">
        <f>9675.07</f>
        <v>9675.07</v>
      </c>
      <c r="P18" s="14">
        <f>(O18)*M18</f>
        <v>483.75350000000003</v>
      </c>
      <c r="Q18" s="14"/>
      <c r="R18" s="14"/>
      <c r="S18" s="14"/>
      <c r="T18" s="15">
        <v>6371.04</v>
      </c>
      <c r="U18" s="18">
        <f t="shared" si="1"/>
        <v>16529.8635</v>
      </c>
      <c r="V18" s="160"/>
      <c r="W18" s="73">
        <f>ROUND(X34*V17,2)</f>
        <v>18007.53</v>
      </c>
      <c r="X18" s="34">
        <f t="shared" si="2"/>
        <v>1477.6664999999994</v>
      </c>
      <c r="Y18" s="138">
        <f>X18*Q37/100</f>
        <v>394.95365745299983</v>
      </c>
      <c r="Z18" s="16">
        <f t="shared" si="3"/>
        <v>32.91</v>
      </c>
      <c r="AA18" s="18">
        <v>141.61</v>
      </c>
      <c r="AB18" s="18">
        <f t="shared" si="4"/>
        <v>427.86</v>
      </c>
      <c r="AC18" s="18">
        <v>572.18</v>
      </c>
      <c r="AD18" s="16">
        <f t="shared" si="5"/>
        <v>164.21</v>
      </c>
      <c r="AE18" s="59">
        <f t="shared" si="6"/>
        <v>592.07</v>
      </c>
      <c r="AF18" s="58">
        <f t="shared" si="7"/>
        <v>1210191.08</v>
      </c>
      <c r="AG18" s="138">
        <f t="shared" si="8"/>
        <v>32.91</v>
      </c>
    </row>
    <row r="19" spans="1:33" ht="24.75" customHeight="1" thickBot="1">
      <c r="A19" s="1"/>
      <c r="B19" s="89" t="s">
        <v>123</v>
      </c>
      <c r="C19" s="26"/>
      <c r="D19" s="26"/>
      <c r="E19" s="27"/>
      <c r="F19" s="27"/>
      <c r="G19" s="26"/>
      <c r="H19" s="26"/>
      <c r="I19" s="27"/>
      <c r="J19" s="8"/>
      <c r="K19" s="8"/>
      <c r="L19" s="8"/>
      <c r="M19" s="8"/>
      <c r="N19" s="8"/>
      <c r="O19" s="20"/>
      <c r="P19" s="20"/>
      <c r="Q19" s="20"/>
      <c r="R19" s="20"/>
      <c r="S19" s="20"/>
      <c r="T19" s="62"/>
      <c r="U19" s="21"/>
      <c r="V19" s="20"/>
      <c r="W19" s="77"/>
      <c r="X19" s="19"/>
      <c r="Y19" s="139"/>
      <c r="Z19" s="20"/>
      <c r="AA19" s="21"/>
      <c r="AB19" s="21"/>
      <c r="AC19" s="21"/>
      <c r="AD19" s="20"/>
      <c r="AE19" s="20"/>
      <c r="AF19" s="21"/>
      <c r="AG19" s="139"/>
    </row>
    <row r="20" spans="1:33" ht="29.25" customHeight="1" thickBot="1">
      <c r="A20" s="124" t="s">
        <v>124</v>
      </c>
      <c r="B20" s="191" t="s">
        <v>125</v>
      </c>
      <c r="C20" s="31">
        <v>79</v>
      </c>
      <c r="D20" s="31">
        <v>108</v>
      </c>
      <c r="E20" s="31">
        <v>0</v>
      </c>
      <c r="F20" s="31">
        <v>64</v>
      </c>
      <c r="G20" s="31">
        <v>794</v>
      </c>
      <c r="H20" s="31">
        <v>1265</v>
      </c>
      <c r="I20" s="31">
        <f aca="true" t="shared" si="9" ref="I20:I26">C20+D20+E20+F20+G20+H20</f>
        <v>2310</v>
      </c>
      <c r="J20" s="161" t="s">
        <v>9</v>
      </c>
      <c r="K20" s="6"/>
      <c r="L20" s="6">
        <v>1</v>
      </c>
      <c r="M20" s="10"/>
      <c r="N20" s="10">
        <f>IF(L20=1,0.025,0.05)</f>
        <v>0.025</v>
      </c>
      <c r="O20" s="16">
        <f>10379.57</f>
        <v>10379.57</v>
      </c>
      <c r="P20" s="16"/>
      <c r="Q20" s="16">
        <f>(O20)*N20</f>
        <v>259.48925</v>
      </c>
      <c r="R20" s="16"/>
      <c r="S20" s="16">
        <v>232.41</v>
      </c>
      <c r="T20" s="15">
        <v>6408.48</v>
      </c>
      <c r="U20" s="18">
        <f aca="true" t="shared" si="10" ref="U20:U26">SUM(O20:T20)</f>
        <v>17279.949249999998</v>
      </c>
      <c r="V20" s="162">
        <v>122.5</v>
      </c>
      <c r="W20" s="73">
        <f>ROUND(X34*V20,2)</f>
        <v>18268.51</v>
      </c>
      <c r="X20" s="32">
        <f aca="true" t="shared" si="11" ref="X20:X26">W20-U20</f>
        <v>988.5607500000006</v>
      </c>
      <c r="Y20" s="138">
        <f>X20*Q37/100</f>
        <v>264.22449438150016</v>
      </c>
      <c r="Z20" s="16">
        <f aca="true" t="shared" si="12" ref="Z20:Z26">ROUND(Y20/12,2)</f>
        <v>22.02</v>
      </c>
      <c r="AA20" s="18">
        <v>94.75</v>
      </c>
      <c r="AB20" s="18">
        <f aca="true" t="shared" si="13" ref="AB20:AB26">ROUND(Y20+Z20,2)</f>
        <v>286.24</v>
      </c>
      <c r="AC20" s="18">
        <v>383.11</v>
      </c>
      <c r="AD20" s="16">
        <f aca="true" t="shared" si="14" ref="AD20:AD26">ROUND(AB20*0.3838,2)</f>
        <v>109.86</v>
      </c>
      <c r="AE20" s="55">
        <f aca="true" t="shared" si="15" ref="AE20:AE26">AB20+AD20</f>
        <v>396.1</v>
      </c>
      <c r="AF20" s="58">
        <f aca="true" t="shared" si="16" ref="AF20:AF26">ROUND(AE20*I20,2)</f>
        <v>914991</v>
      </c>
      <c r="AG20" s="138">
        <f aca="true" t="shared" si="17" ref="AG20:AG26">ROUND(Y20/12,2)</f>
        <v>22.02</v>
      </c>
    </row>
    <row r="21" spans="1:33" ht="34.5" customHeight="1" thickBot="1">
      <c r="A21" s="124" t="s">
        <v>126</v>
      </c>
      <c r="B21" s="191"/>
      <c r="C21" s="2">
        <v>8</v>
      </c>
      <c r="D21" s="2">
        <v>13</v>
      </c>
      <c r="E21" s="2">
        <v>0</v>
      </c>
      <c r="F21" s="2">
        <v>825</v>
      </c>
      <c r="G21" s="2">
        <v>297</v>
      </c>
      <c r="H21" s="2">
        <v>766</v>
      </c>
      <c r="I21" s="2">
        <f t="shared" si="9"/>
        <v>1909</v>
      </c>
      <c r="J21" s="156"/>
      <c r="K21" s="3"/>
      <c r="L21" s="3"/>
      <c r="M21" s="9"/>
      <c r="N21" s="9">
        <f>IF(L21=1,0.025,0.05)</f>
        <v>0.05</v>
      </c>
      <c r="O21" s="15">
        <f>10379.57</f>
        <v>10379.57</v>
      </c>
      <c r="P21" s="15"/>
      <c r="Q21" s="15"/>
      <c r="R21" s="15"/>
      <c r="S21" s="15">
        <v>232.41</v>
      </c>
      <c r="T21" s="15">
        <v>6408.48</v>
      </c>
      <c r="U21" s="18">
        <f t="shared" si="10"/>
        <v>17020.46</v>
      </c>
      <c r="V21" s="163"/>
      <c r="W21" s="73">
        <f>ROUND(X34*V20,2)</f>
        <v>18268.51</v>
      </c>
      <c r="X21" s="30">
        <f t="shared" si="11"/>
        <v>1248.0499999999993</v>
      </c>
      <c r="Y21" s="138">
        <f>X21*Q37/100</f>
        <v>333.5813000999998</v>
      </c>
      <c r="Z21" s="16">
        <f t="shared" si="12"/>
        <v>27.8</v>
      </c>
      <c r="AA21" s="18">
        <v>119.61</v>
      </c>
      <c r="AB21" s="18">
        <f t="shared" si="13"/>
        <v>361.38</v>
      </c>
      <c r="AC21" s="18">
        <v>483.43</v>
      </c>
      <c r="AD21" s="16">
        <f t="shared" si="14"/>
        <v>138.7</v>
      </c>
      <c r="AE21" s="56">
        <f t="shared" si="15"/>
        <v>500.08</v>
      </c>
      <c r="AF21" s="58">
        <f t="shared" si="16"/>
        <v>954652.72</v>
      </c>
      <c r="AG21" s="138">
        <f t="shared" si="17"/>
        <v>27.8</v>
      </c>
    </row>
    <row r="22" spans="1:33" ht="27.75" customHeight="1" thickBot="1">
      <c r="A22" s="124" t="s">
        <v>127</v>
      </c>
      <c r="B22" s="191"/>
      <c r="C22" s="2">
        <v>31</v>
      </c>
      <c r="D22" s="2">
        <v>0</v>
      </c>
      <c r="E22" s="2">
        <v>11</v>
      </c>
      <c r="F22" s="2">
        <v>0</v>
      </c>
      <c r="G22" s="2">
        <v>117</v>
      </c>
      <c r="H22" s="2">
        <v>38</v>
      </c>
      <c r="I22" s="2">
        <f t="shared" si="9"/>
        <v>197</v>
      </c>
      <c r="J22" s="156"/>
      <c r="K22" s="3"/>
      <c r="L22" s="3">
        <v>1</v>
      </c>
      <c r="M22" s="9"/>
      <c r="N22" s="9">
        <f>IF(L22=1,0.025,0.05)</f>
        <v>0.025</v>
      </c>
      <c r="O22" s="15">
        <f>10379.57</f>
        <v>10379.57</v>
      </c>
      <c r="P22" s="15"/>
      <c r="Q22" s="15">
        <f>(O22)*N22</f>
        <v>259.48925</v>
      </c>
      <c r="R22" s="15"/>
      <c r="S22" s="15"/>
      <c r="T22" s="15">
        <v>6408.48</v>
      </c>
      <c r="U22" s="18">
        <f t="shared" si="10"/>
        <v>17047.53925</v>
      </c>
      <c r="V22" s="155"/>
      <c r="W22" s="73">
        <f>ROUND(X34*V20,2)</f>
        <v>18268.51</v>
      </c>
      <c r="X22" s="30">
        <f t="shared" si="11"/>
        <v>1220.9707499999968</v>
      </c>
      <c r="Y22" s="138">
        <f>X22*Q37/100</f>
        <v>326.3435040014991</v>
      </c>
      <c r="Z22" s="16">
        <f t="shared" si="12"/>
        <v>27.2</v>
      </c>
      <c r="AA22" s="18">
        <v>117.02</v>
      </c>
      <c r="AB22" s="18">
        <f t="shared" si="13"/>
        <v>353.54</v>
      </c>
      <c r="AC22" s="18">
        <v>472.96</v>
      </c>
      <c r="AD22" s="16">
        <f t="shared" si="14"/>
        <v>135.69</v>
      </c>
      <c r="AE22" s="56">
        <f t="shared" si="15"/>
        <v>489.23</v>
      </c>
      <c r="AF22" s="58">
        <f t="shared" si="16"/>
        <v>96378.31</v>
      </c>
      <c r="AG22" s="138">
        <f t="shared" si="17"/>
        <v>27.2</v>
      </c>
    </row>
    <row r="23" spans="1:33" ht="29.25" customHeight="1" thickBot="1">
      <c r="A23" s="124" t="s">
        <v>128</v>
      </c>
      <c r="B23" s="88" t="s">
        <v>129</v>
      </c>
      <c r="C23" s="2">
        <v>77</v>
      </c>
      <c r="D23" s="2">
        <v>45</v>
      </c>
      <c r="E23" s="2">
        <v>0</v>
      </c>
      <c r="F23" s="2">
        <v>211</v>
      </c>
      <c r="G23" s="2">
        <v>335</v>
      </c>
      <c r="H23" s="2">
        <v>2345</v>
      </c>
      <c r="I23" s="2">
        <f t="shared" si="9"/>
        <v>3013</v>
      </c>
      <c r="J23" s="13" t="s">
        <v>9</v>
      </c>
      <c r="K23" s="3"/>
      <c r="L23" s="3"/>
      <c r="M23" s="9"/>
      <c r="N23" s="9"/>
      <c r="O23" s="15">
        <f>10379.57</f>
        <v>10379.57</v>
      </c>
      <c r="P23" s="15"/>
      <c r="Q23" s="15"/>
      <c r="R23" s="15"/>
      <c r="S23" s="15"/>
      <c r="T23" s="15">
        <v>6408.48</v>
      </c>
      <c r="U23" s="18">
        <f t="shared" si="10"/>
        <v>16788.05</v>
      </c>
      <c r="V23" s="81">
        <v>120.25</v>
      </c>
      <c r="W23" s="73">
        <f>ROUND(X34*V23,2)</f>
        <v>17932.97</v>
      </c>
      <c r="X23" s="30">
        <f t="shared" si="11"/>
        <v>1144.920000000002</v>
      </c>
      <c r="Y23" s="138">
        <f>X23*Q37/100</f>
        <v>306.0165074400005</v>
      </c>
      <c r="Z23" s="16">
        <f t="shared" si="12"/>
        <v>25.5</v>
      </c>
      <c r="AA23" s="18">
        <v>109.73</v>
      </c>
      <c r="AB23" s="18">
        <f t="shared" si="13"/>
        <v>331.52</v>
      </c>
      <c r="AC23" s="18">
        <v>443.54</v>
      </c>
      <c r="AD23" s="16">
        <f t="shared" si="14"/>
        <v>127.24</v>
      </c>
      <c r="AE23" s="56">
        <f t="shared" si="15"/>
        <v>458.76</v>
      </c>
      <c r="AF23" s="58">
        <f t="shared" si="16"/>
        <v>1382243.88</v>
      </c>
      <c r="AG23" s="138">
        <f t="shared" si="17"/>
        <v>25.5</v>
      </c>
    </row>
    <row r="24" spans="1:33" ht="18.75" customHeight="1" thickBot="1">
      <c r="A24" s="88" t="s">
        <v>130</v>
      </c>
      <c r="B24" s="88" t="s">
        <v>130</v>
      </c>
      <c r="C24" s="2">
        <v>346</v>
      </c>
      <c r="D24" s="2">
        <v>2340</v>
      </c>
      <c r="E24" s="2">
        <v>650</v>
      </c>
      <c r="F24" s="2">
        <v>6821</v>
      </c>
      <c r="G24" s="2">
        <v>5624</v>
      </c>
      <c r="H24" s="2">
        <v>6085</v>
      </c>
      <c r="I24" s="2">
        <f t="shared" si="9"/>
        <v>21866</v>
      </c>
      <c r="J24" s="156" t="s">
        <v>7</v>
      </c>
      <c r="K24" s="3">
        <v>1</v>
      </c>
      <c r="L24" s="3"/>
      <c r="M24" s="9">
        <f>IF(K24=1,0.025,0.05)</f>
        <v>0.025</v>
      </c>
      <c r="N24" s="9"/>
      <c r="O24" s="15">
        <f>9675.07</f>
        <v>9675.07</v>
      </c>
      <c r="P24" s="15">
        <f>(O24)*M24</f>
        <v>241.87675000000002</v>
      </c>
      <c r="Q24" s="15"/>
      <c r="R24" s="15"/>
      <c r="S24" s="15"/>
      <c r="T24" s="15">
        <v>6371.04</v>
      </c>
      <c r="U24" s="18">
        <f t="shared" si="10"/>
        <v>16287.98675</v>
      </c>
      <c r="V24" s="81">
        <v>116.25</v>
      </c>
      <c r="W24" s="73">
        <f>ROUND(X34*V24,2)</f>
        <v>17336.44</v>
      </c>
      <c r="X24" s="30">
        <f t="shared" si="11"/>
        <v>1048.4532499999987</v>
      </c>
      <c r="Y24" s="138">
        <f>X24*Q37/100</f>
        <v>280.23268156649965</v>
      </c>
      <c r="Z24" s="16">
        <f t="shared" si="12"/>
        <v>23.35</v>
      </c>
      <c r="AA24" s="18">
        <v>100.48</v>
      </c>
      <c r="AB24" s="18">
        <f t="shared" si="13"/>
        <v>303.58</v>
      </c>
      <c r="AC24" s="18">
        <v>406.22</v>
      </c>
      <c r="AD24" s="16">
        <f t="shared" si="14"/>
        <v>116.51</v>
      </c>
      <c r="AE24" s="56">
        <f t="shared" si="15"/>
        <v>420.09</v>
      </c>
      <c r="AF24" s="58">
        <f t="shared" si="16"/>
        <v>9185687.94</v>
      </c>
      <c r="AG24" s="138">
        <f t="shared" si="17"/>
        <v>23.35</v>
      </c>
    </row>
    <row r="25" spans="1:33" ht="18.75" customHeight="1" thickBot="1">
      <c r="A25" s="88" t="s">
        <v>131</v>
      </c>
      <c r="B25" s="191" t="s">
        <v>132</v>
      </c>
      <c r="C25" s="2">
        <v>4</v>
      </c>
      <c r="D25" s="2">
        <v>0</v>
      </c>
      <c r="E25" s="2">
        <v>5135</v>
      </c>
      <c r="F25" s="2">
        <v>2081</v>
      </c>
      <c r="G25" s="2">
        <v>7307</v>
      </c>
      <c r="H25" s="2">
        <v>2235</v>
      </c>
      <c r="I25" s="2">
        <f t="shared" si="9"/>
        <v>16762</v>
      </c>
      <c r="J25" s="156"/>
      <c r="K25" s="3"/>
      <c r="L25" s="3"/>
      <c r="M25" s="9"/>
      <c r="N25" s="9"/>
      <c r="O25" s="15">
        <f>9675.07</f>
        <v>9675.07</v>
      </c>
      <c r="P25" s="15"/>
      <c r="Q25" s="15"/>
      <c r="R25" s="15">
        <v>191.09</v>
      </c>
      <c r="S25" s="15"/>
      <c r="T25" s="15">
        <v>6371.04</v>
      </c>
      <c r="U25" s="18">
        <f t="shared" si="10"/>
        <v>16237.2</v>
      </c>
      <c r="V25" s="154">
        <v>112.5</v>
      </c>
      <c r="W25" s="14">
        <f>ROUND(X34*V25,2)</f>
        <v>16777.2</v>
      </c>
      <c r="X25" s="30">
        <f t="shared" si="11"/>
        <v>540</v>
      </c>
      <c r="Y25" s="138">
        <f>X25*Q37/100</f>
        <v>144.33228</v>
      </c>
      <c r="Z25" s="16">
        <f t="shared" si="12"/>
        <v>12.03</v>
      </c>
      <c r="AA25" s="18">
        <v>51.75</v>
      </c>
      <c r="AB25" s="18">
        <f t="shared" si="13"/>
        <v>156.36</v>
      </c>
      <c r="AC25" s="18">
        <v>195.2</v>
      </c>
      <c r="AD25" s="16">
        <f t="shared" si="14"/>
        <v>60.01</v>
      </c>
      <c r="AE25" s="56">
        <f t="shared" si="15"/>
        <v>216.37</v>
      </c>
      <c r="AF25" s="58">
        <f t="shared" si="16"/>
        <v>3626793.94</v>
      </c>
      <c r="AG25" s="138">
        <f t="shared" si="17"/>
        <v>12.03</v>
      </c>
    </row>
    <row r="26" spans="1:33" ht="18.75" customHeight="1" thickBot="1">
      <c r="A26" s="88" t="s">
        <v>133</v>
      </c>
      <c r="B26" s="191"/>
      <c r="C26" s="5">
        <v>626</v>
      </c>
      <c r="D26" s="5">
        <v>1445</v>
      </c>
      <c r="E26" s="5">
        <v>4201</v>
      </c>
      <c r="F26" s="5">
        <v>2945</v>
      </c>
      <c r="G26" s="5">
        <v>4477</v>
      </c>
      <c r="H26" s="5">
        <v>2748</v>
      </c>
      <c r="I26" s="5">
        <f t="shared" si="9"/>
        <v>16442</v>
      </c>
      <c r="J26" s="157"/>
      <c r="K26" s="7"/>
      <c r="L26" s="7"/>
      <c r="M26" s="11"/>
      <c r="N26" s="11"/>
      <c r="O26" s="14">
        <f>9675.07</f>
        <v>9675.07</v>
      </c>
      <c r="P26" s="14"/>
      <c r="Q26" s="14"/>
      <c r="R26" s="14"/>
      <c r="S26" s="14"/>
      <c r="T26" s="15">
        <v>6371.04</v>
      </c>
      <c r="U26" s="18">
        <f t="shared" si="10"/>
        <v>16046.11</v>
      </c>
      <c r="V26" s="160"/>
      <c r="W26" s="14">
        <f>ROUND(X34*V25,2)</f>
        <v>16777.2</v>
      </c>
      <c r="X26" s="34">
        <f t="shared" si="11"/>
        <v>731.0900000000001</v>
      </c>
      <c r="Y26" s="138">
        <f>X26*Q37/100</f>
        <v>195.40719738000004</v>
      </c>
      <c r="Z26" s="16">
        <f t="shared" si="12"/>
        <v>16.28</v>
      </c>
      <c r="AA26" s="18">
        <v>70.07</v>
      </c>
      <c r="AB26" s="18">
        <f t="shared" si="13"/>
        <v>211.69</v>
      </c>
      <c r="AC26" s="18">
        <v>269.08</v>
      </c>
      <c r="AD26" s="16">
        <f t="shared" si="14"/>
        <v>81.25</v>
      </c>
      <c r="AE26" s="59">
        <f t="shared" si="15"/>
        <v>292.94</v>
      </c>
      <c r="AF26" s="58">
        <f t="shared" si="16"/>
        <v>4816519.48</v>
      </c>
      <c r="AG26" s="138">
        <f t="shared" si="17"/>
        <v>16.28</v>
      </c>
    </row>
    <row r="27" spans="1:33" ht="25.5" customHeight="1" thickBot="1">
      <c r="A27" s="1"/>
      <c r="B27" s="89" t="s">
        <v>174</v>
      </c>
      <c r="C27" s="33"/>
      <c r="D27" s="33"/>
      <c r="E27" s="27"/>
      <c r="F27" s="27"/>
      <c r="G27" s="33"/>
      <c r="H27" s="33"/>
      <c r="I27" s="27"/>
      <c r="J27" s="8"/>
      <c r="K27" s="8"/>
      <c r="L27" s="8"/>
      <c r="M27" s="8"/>
      <c r="N27" s="8"/>
      <c r="O27" s="20"/>
      <c r="P27" s="20"/>
      <c r="Q27" s="20"/>
      <c r="R27" s="20"/>
      <c r="S27" s="20"/>
      <c r="T27" s="20"/>
      <c r="U27" s="21"/>
      <c r="V27" s="20"/>
      <c r="W27" s="62"/>
      <c r="X27" s="19"/>
      <c r="Y27" s="139"/>
      <c r="Z27" s="20"/>
      <c r="AA27" s="21"/>
      <c r="AB27" s="21"/>
      <c r="AC27" s="21"/>
      <c r="AD27" s="20"/>
      <c r="AE27" s="20"/>
      <c r="AF27" s="21"/>
      <c r="AG27" s="139"/>
    </row>
    <row r="28" spans="1:33" ht="31.5" customHeight="1" thickBot="1">
      <c r="A28" s="124" t="s">
        <v>134</v>
      </c>
      <c r="B28" s="125" t="s">
        <v>135</v>
      </c>
      <c r="C28" s="31">
        <v>48</v>
      </c>
      <c r="D28" s="31">
        <v>4015</v>
      </c>
      <c r="E28" s="31">
        <v>0</v>
      </c>
      <c r="F28" s="31">
        <v>28</v>
      </c>
      <c r="G28" s="31">
        <v>5965</v>
      </c>
      <c r="H28" s="31">
        <v>7477</v>
      </c>
      <c r="I28" s="31">
        <f>C28+D28+E28+F28+G28+H28</f>
        <v>17533</v>
      </c>
      <c r="J28" s="28" t="s">
        <v>27</v>
      </c>
      <c r="K28" s="6">
        <v>3</v>
      </c>
      <c r="L28" s="6">
        <v>1</v>
      </c>
      <c r="M28" s="4">
        <f>IF(K28=3,0.075,0)</f>
        <v>0.075</v>
      </c>
      <c r="N28" s="10">
        <f>IF(L28=1,0.025,0.05)</f>
        <v>0.025</v>
      </c>
      <c r="O28" s="16">
        <f>8776.59</f>
        <v>8776.59</v>
      </c>
      <c r="P28" s="16">
        <f>(O28)*M28</f>
        <v>658.24425</v>
      </c>
      <c r="Q28" s="16">
        <f>(O28)*N28</f>
        <v>219.41475000000003</v>
      </c>
      <c r="R28" s="16"/>
      <c r="S28" s="16">
        <v>247.9</v>
      </c>
      <c r="T28" s="16">
        <v>6317.88</v>
      </c>
      <c r="U28" s="18">
        <f>SUM(O28:T28)</f>
        <v>16220.028999999999</v>
      </c>
      <c r="V28" s="80">
        <v>113.5</v>
      </c>
      <c r="W28" s="73">
        <f>ROUND(X34*V28,2)</f>
        <v>16926.33</v>
      </c>
      <c r="X28" s="32">
        <f>W28-U28</f>
        <v>706.3010000000031</v>
      </c>
      <c r="Y28" s="138">
        <f>X28*Q37/100</f>
        <v>188.78154388200085</v>
      </c>
      <c r="Z28" s="16">
        <f>ROUND(Y28/12,2)</f>
        <v>15.73</v>
      </c>
      <c r="AA28" s="18">
        <v>67.69</v>
      </c>
      <c r="AB28" s="18">
        <f>ROUND(Y28+Z28,2)</f>
        <v>204.51</v>
      </c>
      <c r="AC28" s="18">
        <v>273.91</v>
      </c>
      <c r="AD28" s="16">
        <f>ROUND(AB28*0.3838,2)</f>
        <v>78.49</v>
      </c>
      <c r="AE28" s="55">
        <f>AB28+AD28</f>
        <v>283</v>
      </c>
      <c r="AF28" s="58">
        <f>ROUND(AE28*I28,2)</f>
        <v>4961839</v>
      </c>
      <c r="AG28" s="138">
        <f>ROUND(Y28/12,2)</f>
        <v>15.73</v>
      </c>
    </row>
    <row r="29" spans="1:33" ht="29.25" customHeight="1" thickBot="1">
      <c r="A29" s="126" t="s">
        <v>136</v>
      </c>
      <c r="B29" s="192" t="s">
        <v>137</v>
      </c>
      <c r="C29" s="2">
        <v>32</v>
      </c>
      <c r="D29" s="2">
        <v>4994</v>
      </c>
      <c r="E29" s="2">
        <v>0</v>
      </c>
      <c r="F29" s="2">
        <v>5382</v>
      </c>
      <c r="G29" s="2">
        <v>19</v>
      </c>
      <c r="H29" s="2">
        <v>4938</v>
      </c>
      <c r="I29" s="2">
        <f>C29+D29+E29+F29+G29+H29</f>
        <v>15365</v>
      </c>
      <c r="J29" s="156" t="s">
        <v>27</v>
      </c>
      <c r="K29" s="3">
        <v>3</v>
      </c>
      <c r="L29" s="3"/>
      <c r="M29" s="1">
        <f>IF(K29=3,0.075,0)</f>
        <v>0.075</v>
      </c>
      <c r="N29" s="9"/>
      <c r="O29" s="15">
        <f>8776.59</f>
        <v>8776.59</v>
      </c>
      <c r="P29" s="15">
        <f>(O29)*M29</f>
        <v>658.24425</v>
      </c>
      <c r="Q29" s="15"/>
      <c r="R29" s="15"/>
      <c r="S29" s="15">
        <v>247.9</v>
      </c>
      <c r="T29" s="16">
        <v>6317.88</v>
      </c>
      <c r="U29" s="18">
        <f>SUM(O29:T29)</f>
        <v>16000.614249999999</v>
      </c>
      <c r="V29" s="154">
        <v>111.5</v>
      </c>
      <c r="W29" s="14">
        <f>ROUND(X34*V29,2)</f>
        <v>16628.07</v>
      </c>
      <c r="X29" s="30">
        <f>W29-U29</f>
        <v>627.455750000001</v>
      </c>
      <c r="Y29" s="138">
        <f>X29*Q37/100</f>
        <v>167.70762777150026</v>
      </c>
      <c r="Z29" s="16">
        <f>ROUND(Y29/12,2)</f>
        <v>13.98</v>
      </c>
      <c r="AA29" s="18">
        <v>60.14</v>
      </c>
      <c r="AB29" s="18">
        <f>ROUND(Y29+Z29,2)</f>
        <v>181.69</v>
      </c>
      <c r="AC29" s="18">
        <v>243.41</v>
      </c>
      <c r="AD29" s="16">
        <f>ROUND(AB29*0.3838,2)</f>
        <v>69.73</v>
      </c>
      <c r="AE29" s="56">
        <f>AB29+AD29</f>
        <v>251.42000000000002</v>
      </c>
      <c r="AF29" s="58">
        <f>ROUND(AE29*I29,2)</f>
        <v>3863068.3</v>
      </c>
      <c r="AG29" s="138">
        <f>ROUND(Y29/12,2)</f>
        <v>13.98</v>
      </c>
    </row>
    <row r="30" spans="1:33" ht="31.5" customHeight="1" thickBot="1">
      <c r="A30" s="126" t="s">
        <v>138</v>
      </c>
      <c r="B30" s="193"/>
      <c r="C30" s="2">
        <v>339</v>
      </c>
      <c r="D30" s="2">
        <v>488</v>
      </c>
      <c r="E30" s="2">
        <v>0</v>
      </c>
      <c r="F30" s="2">
        <v>1398</v>
      </c>
      <c r="G30" s="2">
        <v>13616</v>
      </c>
      <c r="H30" s="2">
        <v>4694</v>
      </c>
      <c r="I30" s="2">
        <f>C30+D30+E30+F30+G30+H30</f>
        <v>20535</v>
      </c>
      <c r="J30" s="156"/>
      <c r="K30" s="3">
        <v>3</v>
      </c>
      <c r="L30" s="3"/>
      <c r="M30" s="1">
        <f>IF(K30=3,0.075,0)</f>
        <v>0.075</v>
      </c>
      <c r="N30" s="9"/>
      <c r="O30" s="15">
        <f>8776.59</f>
        <v>8776.59</v>
      </c>
      <c r="P30" s="15">
        <f>(O30)*M30</f>
        <v>658.24425</v>
      </c>
      <c r="Q30" s="15"/>
      <c r="R30" s="15"/>
      <c r="S30" s="15"/>
      <c r="T30" s="16">
        <v>6317.88</v>
      </c>
      <c r="U30" s="18">
        <f>SUM(O30:T30)</f>
        <v>15752.71425</v>
      </c>
      <c r="V30" s="155"/>
      <c r="W30" s="14">
        <f>ROUND(X34*V29,2)</f>
        <v>16628.07</v>
      </c>
      <c r="X30" s="30">
        <f>W30-U30</f>
        <v>875.3557499999988</v>
      </c>
      <c r="Y30" s="138">
        <f>X30*Q37/100</f>
        <v>233.9668355714997</v>
      </c>
      <c r="Z30" s="16">
        <f>ROUND(Y30/12,2)</f>
        <v>19.5</v>
      </c>
      <c r="AA30" s="18">
        <v>83.89</v>
      </c>
      <c r="AB30" s="18">
        <f>ROUND(Y30+Z30,2)</f>
        <v>253.47</v>
      </c>
      <c r="AC30" s="18">
        <v>339.26</v>
      </c>
      <c r="AD30" s="16">
        <f>ROUND(AB30*0.3838,2)</f>
        <v>97.28</v>
      </c>
      <c r="AE30" s="56">
        <f>AB30+AD30</f>
        <v>350.75</v>
      </c>
      <c r="AF30" s="58">
        <f>ROUND(AE30*I30,2)</f>
        <v>7202651.25</v>
      </c>
      <c r="AG30" s="138">
        <f>ROUND(Y30/12,2)</f>
        <v>19.5</v>
      </c>
    </row>
    <row r="31" spans="1:33" ht="18.75" customHeight="1" thickBot="1">
      <c r="A31" s="122" t="s">
        <v>139</v>
      </c>
      <c r="B31" s="127" t="s">
        <v>139</v>
      </c>
      <c r="C31" s="2">
        <v>1244</v>
      </c>
      <c r="D31" s="2">
        <v>8089</v>
      </c>
      <c r="E31" s="2">
        <v>1003</v>
      </c>
      <c r="F31" s="2">
        <v>6033</v>
      </c>
      <c r="G31" s="2">
        <v>11102</v>
      </c>
      <c r="H31" s="2">
        <v>19997</v>
      </c>
      <c r="I31" s="2">
        <f>C31+D31+E31+F31+G31+H31</f>
        <v>47468</v>
      </c>
      <c r="J31" s="13" t="s">
        <v>27</v>
      </c>
      <c r="K31" s="3">
        <v>2</v>
      </c>
      <c r="L31" s="3"/>
      <c r="M31" s="9">
        <f>IF(K31=1,0.025,0.05)</f>
        <v>0.05</v>
      </c>
      <c r="N31" s="9"/>
      <c r="O31" s="15">
        <f>8776.59</f>
        <v>8776.59</v>
      </c>
      <c r="P31" s="15">
        <f>(O31)*M31</f>
        <v>438.82950000000005</v>
      </c>
      <c r="Q31" s="15"/>
      <c r="R31" s="15"/>
      <c r="S31" s="15"/>
      <c r="T31" s="16">
        <v>6317.88</v>
      </c>
      <c r="U31" s="18">
        <f>SUM(O31:T31)</f>
        <v>15533.299500000001</v>
      </c>
      <c r="V31" s="81">
        <v>108</v>
      </c>
      <c r="W31" s="14">
        <f>ROUND(X34*V31,2)</f>
        <v>16106.12</v>
      </c>
      <c r="X31" s="30">
        <f>W31-U31</f>
        <v>572.8204999999998</v>
      </c>
      <c r="Y31" s="138">
        <f>X31*Q37/100</f>
        <v>153.10460888099996</v>
      </c>
      <c r="Z31" s="16">
        <f>ROUND(Y31/12,2)</f>
        <v>12.76</v>
      </c>
      <c r="AA31" s="18">
        <v>54.9</v>
      </c>
      <c r="AB31" s="18">
        <f>ROUND(Y31+Z31,2)</f>
        <v>165.86</v>
      </c>
      <c r="AC31" s="18">
        <v>222.27</v>
      </c>
      <c r="AD31" s="16">
        <f>ROUND(AB31*0.3838,2)</f>
        <v>63.66</v>
      </c>
      <c r="AE31" s="56">
        <f>AB31+AD31</f>
        <v>229.52</v>
      </c>
      <c r="AF31" s="58">
        <f>ROUND(AE31*I31,2)</f>
        <v>10894855.36</v>
      </c>
      <c r="AG31" s="138">
        <f>ROUND(Y31/12,2)</f>
        <v>12.76</v>
      </c>
    </row>
    <row r="32" spans="1:33" ht="18.75" customHeight="1" thickBot="1">
      <c r="A32" s="122" t="s">
        <v>140</v>
      </c>
      <c r="B32" s="127" t="s">
        <v>140</v>
      </c>
      <c r="C32" s="2">
        <v>1432</v>
      </c>
      <c r="D32" s="2">
        <v>13580</v>
      </c>
      <c r="E32" s="2">
        <v>18104</v>
      </c>
      <c r="F32" s="2">
        <v>6771</v>
      </c>
      <c r="G32" s="2">
        <v>9000</v>
      </c>
      <c r="H32" s="2">
        <v>16534</v>
      </c>
      <c r="I32" s="2">
        <f>C32+D32+E32+F32+G32+H32</f>
        <v>65421</v>
      </c>
      <c r="J32" s="13" t="s">
        <v>27</v>
      </c>
      <c r="K32" s="3">
        <v>1</v>
      </c>
      <c r="L32" s="3"/>
      <c r="M32" s="9">
        <f>IF(K32=1,0.025,0.05)</f>
        <v>0.025</v>
      </c>
      <c r="N32" s="1"/>
      <c r="O32" s="15">
        <f>8776.59</f>
        <v>8776.59</v>
      </c>
      <c r="P32" s="15">
        <f>(O32)*M32</f>
        <v>219.41475000000003</v>
      </c>
      <c r="Q32" s="15"/>
      <c r="R32" s="15"/>
      <c r="S32" s="15"/>
      <c r="T32" s="16">
        <v>6317.88</v>
      </c>
      <c r="U32" s="18">
        <f>SUM(O32:T32)</f>
        <v>15313.884750000001</v>
      </c>
      <c r="V32" s="81">
        <v>104.5</v>
      </c>
      <c r="W32" s="14">
        <f>ROUND(X34*V32,2)</f>
        <v>15584.16</v>
      </c>
      <c r="X32" s="30">
        <f>W32-U32</f>
        <v>270.2752499999988</v>
      </c>
      <c r="Y32" s="138">
        <f>X32*Q37/100</f>
        <v>72.23970937049968</v>
      </c>
      <c r="Z32" s="16">
        <f>ROUND(Y32/12,2)</f>
        <v>6.02</v>
      </c>
      <c r="AA32" s="18">
        <v>25.9</v>
      </c>
      <c r="AB32" s="18">
        <f>ROUND(Y32+Z32,2)</f>
        <v>78.26</v>
      </c>
      <c r="AC32" s="18">
        <v>105.27</v>
      </c>
      <c r="AD32" s="16">
        <f>ROUND(AB32*0.3838,2)</f>
        <v>30.04</v>
      </c>
      <c r="AE32" s="56">
        <f>AB32+AD32</f>
        <v>108.30000000000001</v>
      </c>
      <c r="AF32" s="58">
        <f>ROUND(AE32*I32,2)</f>
        <v>7085094.3</v>
      </c>
      <c r="AG32" s="138">
        <f>ROUND(Y32/12,2)</f>
        <v>6.02</v>
      </c>
    </row>
    <row r="33" spans="2:33" ht="26.25" customHeight="1">
      <c r="B33" s="93"/>
      <c r="I33" s="12"/>
      <c r="V33" s="86"/>
      <c r="W33" s="22"/>
      <c r="X33" s="19"/>
      <c r="Y33" s="139"/>
      <c r="Z33" s="22"/>
      <c r="AA33" s="143"/>
      <c r="AB33" s="22"/>
      <c r="AC33" s="22"/>
      <c r="AD33" s="22"/>
      <c r="AE33" s="20"/>
      <c r="AF33" s="61"/>
      <c r="AG33" s="139"/>
    </row>
    <row r="34" spans="2:33" ht="26.25" customHeight="1">
      <c r="B34" s="93"/>
      <c r="I34" s="12"/>
      <c r="O34" s="158"/>
      <c r="P34" s="158"/>
      <c r="Q34" s="159"/>
      <c r="R34" s="78" t="e">
        <f>#REF!</f>
        <v>#REF!</v>
      </c>
      <c r="V34" s="22"/>
      <c r="W34" s="12" t="s">
        <v>57</v>
      </c>
      <c r="X34" s="84">
        <v>149.1307</v>
      </c>
      <c r="Y34" s="140"/>
      <c r="Z34" s="19"/>
      <c r="AA34" s="21"/>
      <c r="AB34" s="22"/>
      <c r="AC34" s="22"/>
      <c r="AD34" s="22"/>
      <c r="AE34" s="22"/>
      <c r="AF34" s="20"/>
      <c r="AG34" s="140"/>
    </row>
    <row r="35" spans="2:33" ht="18.75" customHeight="1">
      <c r="B35" s="93"/>
      <c r="Y35" s="92"/>
      <c r="Z35" s="8"/>
      <c r="AA35" s="144"/>
      <c r="AG35" s="92"/>
    </row>
    <row r="36" spans="2:33" ht="18.75" customHeight="1">
      <c r="B36" s="93"/>
      <c r="C36" s="23"/>
      <c r="O36" s="152" t="s">
        <v>41</v>
      </c>
      <c r="P36" s="153"/>
      <c r="Q36" t="s">
        <v>44</v>
      </c>
      <c r="R36" s="23">
        <v>142000000</v>
      </c>
      <c r="S36" s="66" t="s">
        <v>45</v>
      </c>
      <c r="U36" s="23">
        <v>638000000</v>
      </c>
      <c r="Y36" s="92"/>
      <c r="Z36" s="8"/>
      <c r="AA36" s="144"/>
      <c r="AB36" s="8"/>
      <c r="AC36" s="8"/>
      <c r="AG36" s="92"/>
    </row>
    <row r="37" spans="2:33" ht="27" customHeight="1">
      <c r="B37" s="93"/>
      <c r="C37" s="23"/>
      <c r="O37" s="67" t="s">
        <v>46</v>
      </c>
      <c r="Q37" s="68">
        <v>26.7282</v>
      </c>
      <c r="R37" s="67" t="s">
        <v>42</v>
      </c>
      <c r="S37" s="69" t="s">
        <v>43</v>
      </c>
      <c r="Y37" s="92"/>
      <c r="Z37" s="8"/>
      <c r="AA37" s="144"/>
      <c r="AB37" s="8"/>
      <c r="AC37" s="8"/>
      <c r="AG37" s="92"/>
    </row>
    <row r="38" ht="18.75" customHeight="1">
      <c r="B38" s="93"/>
    </row>
    <row r="39" ht="18.75" customHeight="1">
      <c r="B39" s="93"/>
    </row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</sheetData>
  <mergeCells count="47">
    <mergeCell ref="B15:B16"/>
    <mergeCell ref="B17:B18"/>
    <mergeCell ref="B20:B22"/>
    <mergeCell ref="M1:M2"/>
    <mergeCell ref="C1:I1"/>
    <mergeCell ref="J1:J2"/>
    <mergeCell ref="K1:K2"/>
    <mergeCell ref="L1:L2"/>
    <mergeCell ref="J9:J13"/>
    <mergeCell ref="J15:J16"/>
    <mergeCell ref="A1:A2"/>
    <mergeCell ref="B10:B12"/>
    <mergeCell ref="B1:B2"/>
    <mergeCell ref="AF1:AF2"/>
    <mergeCell ref="V1:V2"/>
    <mergeCell ref="W1:W2"/>
    <mergeCell ref="X1:X2"/>
    <mergeCell ref="Z1:Z2"/>
    <mergeCell ref="AB1:AB2"/>
    <mergeCell ref="AD1:AD2"/>
    <mergeCell ref="AE1:AE2"/>
    <mergeCell ref="Y1:Y2"/>
    <mergeCell ref="N1:N2"/>
    <mergeCell ref="O1:O2"/>
    <mergeCell ref="P1:P2"/>
    <mergeCell ref="AA1:AA2"/>
    <mergeCell ref="AC1:AC2"/>
    <mergeCell ref="V10:V12"/>
    <mergeCell ref="Q1:Q2"/>
    <mergeCell ref="R1:R2"/>
    <mergeCell ref="S1:S2"/>
    <mergeCell ref="U1:U2"/>
    <mergeCell ref="T1:T2"/>
    <mergeCell ref="J20:J22"/>
    <mergeCell ref="J17:J18"/>
    <mergeCell ref="V17:V18"/>
    <mergeCell ref="V20:V22"/>
    <mergeCell ref="AG1:AG2"/>
    <mergeCell ref="B25:B26"/>
    <mergeCell ref="B29:B30"/>
    <mergeCell ref="O36:P36"/>
    <mergeCell ref="V29:V30"/>
    <mergeCell ref="J24:J26"/>
    <mergeCell ref="J29:J30"/>
    <mergeCell ref="O34:Q34"/>
    <mergeCell ref="V15:V16"/>
    <mergeCell ref="V25:V26"/>
  </mergeCells>
  <printOptions horizontalCentered="1" verticalCentered="1"/>
  <pageMargins left="0.6299212598425197" right="0.5118110236220472" top="1.88" bottom="0.5118110236220472" header="0.27" footer="0.5118110236220472"/>
  <pageSetup fitToHeight="1" fitToWidth="1" horizontalDpi="600" verticalDpi="600" orientation="portrait" paperSize="8" scale="63" r:id="rId1"/>
  <headerFooter alignWithMargins="0">
    <oddHeader>&amp;L&amp;9
&amp;C&amp;28&amp;UTABELLA A3
ANTICIPAZIONI ANNO 2003
PERSONALE DELLE FORZE ARMATE&amp;26
&amp;18(Art. 5 comma 1)&amp;"Arial,Grassetto"&amp;26
&amp;22
&amp;"Arial,Normale"&amp;14&amp;U
&amp;R
</oddHeader>
    <oddFooter>&amp;L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6">
    <pageSetUpPr fitToPage="1"/>
  </sheetPr>
  <dimension ref="A1:AE42"/>
  <sheetViews>
    <sheetView workbookViewId="0" topLeftCell="B1">
      <selection activeCell="AP2" sqref="AP2"/>
    </sheetView>
  </sheetViews>
  <sheetFormatPr defaultColWidth="9.140625" defaultRowHeight="12.75"/>
  <cols>
    <col min="1" max="1" width="70.57421875" style="0" customWidth="1"/>
    <col min="2" max="2" width="56.00390625" style="0" customWidth="1"/>
    <col min="3" max="3" width="14.28125" style="0" hidden="1" customWidth="1"/>
    <col min="4" max="4" width="9.8515625" style="0" hidden="1" customWidth="1"/>
    <col min="5" max="5" width="10.8515625" style="0" hidden="1" customWidth="1"/>
    <col min="6" max="6" width="11.7109375" style="0" hidden="1" customWidth="1"/>
    <col min="7" max="7" width="10.28125" style="0" hidden="1" customWidth="1"/>
    <col min="8" max="8" width="12.57421875" style="0" hidden="1" customWidth="1"/>
    <col min="9" max="9" width="16.57421875" style="0" hidden="1" customWidth="1"/>
    <col min="10" max="10" width="6.57421875" style="0" hidden="1" customWidth="1"/>
    <col min="11" max="11" width="4.8515625" style="0" hidden="1" customWidth="1"/>
    <col min="12" max="12" width="5.00390625" style="0" hidden="1" customWidth="1"/>
    <col min="13" max="13" width="5.8515625" style="0" hidden="1" customWidth="1"/>
    <col min="14" max="14" width="6.28125" style="0" hidden="1" customWidth="1"/>
    <col min="15" max="15" width="11.57421875" style="0" hidden="1" customWidth="1"/>
    <col min="16" max="16" width="11.421875" style="0" hidden="1" customWidth="1"/>
    <col min="17" max="17" width="10.140625" style="0" hidden="1" customWidth="1"/>
    <col min="18" max="18" width="14.00390625" style="0" hidden="1" customWidth="1"/>
    <col min="19" max="19" width="15.8515625" style="0" hidden="1" customWidth="1"/>
    <col min="20" max="20" width="12.28125" style="0" hidden="1" customWidth="1"/>
    <col min="21" max="21" width="14.57421875" style="0" hidden="1" customWidth="1"/>
    <col min="22" max="22" width="15.8515625" style="23" hidden="1" customWidth="1"/>
    <col min="23" max="23" width="14.57421875" style="0" hidden="1" customWidth="1"/>
    <col min="24" max="24" width="13.7109375" style="8" hidden="1" customWidth="1"/>
    <col min="25" max="25" width="21.140625" style="141" hidden="1" customWidth="1"/>
    <col min="26" max="26" width="15.00390625" style="0" hidden="1" customWidth="1"/>
    <col min="27" max="27" width="21.57421875" style="0" customWidth="1"/>
    <col min="28" max="28" width="15.57421875" style="0" hidden="1" customWidth="1"/>
    <col min="29" max="29" width="15.421875" style="0" hidden="1" customWidth="1"/>
    <col min="30" max="30" width="22.00390625" style="0" hidden="1" customWidth="1"/>
    <col min="31" max="31" width="21.57421875" style="141" hidden="1" customWidth="1"/>
  </cols>
  <sheetData>
    <row r="1" spans="1:31" ht="51" customHeight="1">
      <c r="A1" s="172" t="s">
        <v>59</v>
      </c>
      <c r="B1" s="184" t="s">
        <v>60</v>
      </c>
      <c r="C1" s="201"/>
      <c r="D1" s="202"/>
      <c r="E1" s="202"/>
      <c r="F1" s="202"/>
      <c r="G1" s="202"/>
      <c r="H1" s="202"/>
      <c r="I1" s="203"/>
      <c r="J1" s="174" t="s">
        <v>0</v>
      </c>
      <c r="K1" s="174" t="s">
        <v>1</v>
      </c>
      <c r="L1" s="174" t="s">
        <v>2</v>
      </c>
      <c r="M1" s="175"/>
      <c r="N1" s="161"/>
      <c r="O1" s="167" t="s">
        <v>3</v>
      </c>
      <c r="P1" s="167" t="s">
        <v>4</v>
      </c>
      <c r="Q1" s="167" t="s">
        <v>5</v>
      </c>
      <c r="R1" s="167" t="s">
        <v>18</v>
      </c>
      <c r="S1" s="169" t="s">
        <v>19</v>
      </c>
      <c r="T1" s="170" t="s">
        <v>53</v>
      </c>
      <c r="U1" s="167" t="s">
        <v>22</v>
      </c>
      <c r="V1" s="177" t="s">
        <v>37</v>
      </c>
      <c r="W1" s="167" t="s">
        <v>51</v>
      </c>
      <c r="X1" s="167" t="s">
        <v>52</v>
      </c>
      <c r="Y1" s="148" t="s">
        <v>172</v>
      </c>
      <c r="Z1" s="167" t="s">
        <v>23</v>
      </c>
      <c r="AA1" s="148" t="s">
        <v>171</v>
      </c>
      <c r="AB1" s="167" t="s">
        <v>24</v>
      </c>
      <c r="AC1" s="167" t="s">
        <v>25</v>
      </c>
      <c r="AD1" s="167" t="s">
        <v>50</v>
      </c>
      <c r="AE1" s="148" t="s">
        <v>145</v>
      </c>
    </row>
    <row r="2" spans="1:31" ht="102" customHeight="1" thickBot="1">
      <c r="A2" s="173"/>
      <c r="B2" s="185"/>
      <c r="C2" s="43" t="s">
        <v>34</v>
      </c>
      <c r="D2" s="43" t="s">
        <v>35</v>
      </c>
      <c r="E2" s="43" t="s">
        <v>36</v>
      </c>
      <c r="F2" s="43" t="s">
        <v>54</v>
      </c>
      <c r="G2" s="43" t="s">
        <v>38</v>
      </c>
      <c r="H2" s="43" t="s">
        <v>39</v>
      </c>
      <c r="I2" s="39" t="s">
        <v>56</v>
      </c>
      <c r="J2" s="157"/>
      <c r="K2" s="157"/>
      <c r="L2" s="157"/>
      <c r="M2" s="176"/>
      <c r="N2" s="157"/>
      <c r="O2" s="168"/>
      <c r="P2" s="168"/>
      <c r="Q2" s="168"/>
      <c r="R2" s="168"/>
      <c r="S2" s="168"/>
      <c r="T2" s="171"/>
      <c r="U2" s="168"/>
      <c r="V2" s="178"/>
      <c r="W2" s="168"/>
      <c r="X2" s="168"/>
      <c r="Y2" s="149"/>
      <c r="Z2" s="168"/>
      <c r="AA2" s="149"/>
      <c r="AB2" s="168"/>
      <c r="AC2" s="168"/>
      <c r="AD2" s="168"/>
      <c r="AE2" s="149"/>
    </row>
    <row r="3" spans="2:31" ht="37.5" customHeight="1" thickBot="1">
      <c r="B3" s="38" t="s">
        <v>163</v>
      </c>
      <c r="C3" s="40"/>
      <c r="D3" s="40"/>
      <c r="E3" s="40"/>
      <c r="F3" s="40"/>
      <c r="G3" s="40"/>
      <c r="H3" s="40"/>
      <c r="I3" s="38"/>
      <c r="J3" s="41"/>
      <c r="K3" s="41"/>
      <c r="L3" s="41"/>
      <c r="M3" s="41"/>
      <c r="N3" s="41"/>
      <c r="O3" s="42"/>
      <c r="P3" s="42"/>
      <c r="Q3" s="42"/>
      <c r="R3" s="42"/>
      <c r="S3" s="42"/>
      <c r="T3" s="42"/>
      <c r="U3" s="42"/>
      <c r="V3" s="85"/>
      <c r="W3" s="76"/>
      <c r="X3" s="25"/>
      <c r="Z3" s="8"/>
      <c r="AA3" s="8"/>
      <c r="AB3" s="8"/>
      <c r="AC3" s="8"/>
      <c r="AD3" s="8"/>
      <c r="AE3" s="135"/>
    </row>
    <row r="4" spans="1:31" ht="17.25" customHeight="1" thickBot="1">
      <c r="A4" s="94" t="s">
        <v>10</v>
      </c>
      <c r="B4" s="95" t="s">
        <v>10</v>
      </c>
      <c r="C4" s="63">
        <v>146</v>
      </c>
      <c r="D4" s="63">
        <v>3</v>
      </c>
      <c r="E4" s="63">
        <v>0</v>
      </c>
      <c r="F4" s="63">
        <v>70</v>
      </c>
      <c r="G4" s="63">
        <v>14</v>
      </c>
      <c r="H4" s="63">
        <v>898</v>
      </c>
      <c r="I4" s="79">
        <f>C4+D4+E4+F4+G4+H4</f>
        <v>1131</v>
      </c>
      <c r="J4" s="28" t="s">
        <v>16</v>
      </c>
      <c r="K4" s="6"/>
      <c r="L4" s="6"/>
      <c r="M4" s="10"/>
      <c r="N4" s="10"/>
      <c r="O4" s="16">
        <f>14437.35</f>
        <v>14437.35</v>
      </c>
      <c r="P4" s="16"/>
      <c r="Q4" s="16"/>
      <c r="R4" s="16"/>
      <c r="S4" s="16"/>
      <c r="T4" s="16">
        <v>6641.4</v>
      </c>
      <c r="U4" s="18">
        <f>SUM(O4:T4)</f>
        <v>21078.75</v>
      </c>
      <c r="V4" s="80">
        <v>150</v>
      </c>
      <c r="W4" s="73">
        <f>ROUND(X34*V4,2)</f>
        <v>22372.5</v>
      </c>
      <c r="X4" s="32">
        <f>W4-U4</f>
        <v>1293.75</v>
      </c>
      <c r="Y4" s="138">
        <f>X4*Q37/100</f>
        <v>674.525025</v>
      </c>
      <c r="Z4" s="16">
        <f>ROUND(Y4/12,2)</f>
        <v>56.21</v>
      </c>
      <c r="AA4" s="18">
        <f>ROUND(Y4+Z4,2)</f>
        <v>730.74</v>
      </c>
      <c r="AB4" s="16">
        <f>ROUND(AA4*0.3838,2)</f>
        <v>280.46</v>
      </c>
      <c r="AC4" s="55">
        <f>AA4+AB4</f>
        <v>1011.2</v>
      </c>
      <c r="AD4" s="58">
        <f>ROUND(AC4*I4,2)</f>
        <v>1143667.2</v>
      </c>
      <c r="AE4" s="138">
        <f>ROUND(Y4/12,2)</f>
        <v>56.21</v>
      </c>
    </row>
    <row r="5" spans="1:31" ht="17.25" customHeight="1" thickBot="1">
      <c r="A5" s="94" t="s">
        <v>11</v>
      </c>
      <c r="B5" s="95" t="s">
        <v>11</v>
      </c>
      <c r="C5" s="2">
        <v>10</v>
      </c>
      <c r="D5" s="2">
        <v>1</v>
      </c>
      <c r="E5" s="2">
        <v>5981</v>
      </c>
      <c r="F5" s="2">
        <v>806</v>
      </c>
      <c r="G5" s="2">
        <v>492</v>
      </c>
      <c r="H5" s="2">
        <v>822</v>
      </c>
      <c r="I5" s="35">
        <f>C5+D5+E5+F5+G5+H5</f>
        <v>8112</v>
      </c>
      <c r="J5" s="13" t="s">
        <v>17</v>
      </c>
      <c r="K5" s="3">
        <v>1</v>
      </c>
      <c r="L5" s="3"/>
      <c r="M5" s="9">
        <f>IF(K5=1,0.025,0.05)</f>
        <v>0.025</v>
      </c>
      <c r="N5" s="9"/>
      <c r="O5" s="15">
        <f>12643.32</f>
        <v>12643.32</v>
      </c>
      <c r="P5" s="15">
        <f>(O5)*M5</f>
        <v>316.083</v>
      </c>
      <c r="Q5" s="15"/>
      <c r="R5" s="15"/>
      <c r="S5" s="15"/>
      <c r="T5" s="15">
        <v>6545.28</v>
      </c>
      <c r="U5" s="18">
        <f>SUM(O5:T5)</f>
        <v>19504.683</v>
      </c>
      <c r="V5" s="81">
        <v>144.5</v>
      </c>
      <c r="W5" s="14">
        <f>ROUND(X34*V5,2)</f>
        <v>21552.18</v>
      </c>
      <c r="X5" s="30">
        <f>W5-U5</f>
        <v>2047.4969999999994</v>
      </c>
      <c r="Y5" s="138">
        <f>X5*Q37/100</f>
        <v>1067.5076058839995</v>
      </c>
      <c r="Z5" s="16">
        <f>ROUND(Y5/12,2)</f>
        <v>88.96</v>
      </c>
      <c r="AA5" s="18">
        <f>ROUND(Y5+Z5,2)</f>
        <v>1156.47</v>
      </c>
      <c r="AB5" s="16">
        <f>ROUND(AA5*0.3838,2)</f>
        <v>443.85</v>
      </c>
      <c r="AC5" s="56">
        <f>AA5+AB5</f>
        <v>1600.3200000000002</v>
      </c>
      <c r="AD5" s="58">
        <f>ROUND(AC5*I5,2)</f>
        <v>12981795.84</v>
      </c>
      <c r="AE5" s="138">
        <f aca="true" t="shared" si="0" ref="AE5:AE32">ROUND(Y5/12,2)</f>
        <v>88.96</v>
      </c>
    </row>
    <row r="6" spans="1:31" ht="17.25" customHeight="1" thickBot="1">
      <c r="A6" s="94" t="s">
        <v>61</v>
      </c>
      <c r="B6" s="95" t="s">
        <v>12</v>
      </c>
      <c r="C6" s="2">
        <v>125</v>
      </c>
      <c r="D6" s="2">
        <v>5</v>
      </c>
      <c r="E6" s="2">
        <v>3747</v>
      </c>
      <c r="F6" s="2">
        <v>311</v>
      </c>
      <c r="G6" s="2">
        <v>858</v>
      </c>
      <c r="H6" s="2">
        <v>87</v>
      </c>
      <c r="I6" s="35">
        <f>C6+D6+E6+F6+G6+H6</f>
        <v>5133</v>
      </c>
      <c r="J6" s="13" t="s">
        <v>17</v>
      </c>
      <c r="K6" s="3"/>
      <c r="L6" s="3"/>
      <c r="M6" s="9"/>
      <c r="N6" s="9"/>
      <c r="O6" s="15">
        <f>12643.32</f>
        <v>12643.32</v>
      </c>
      <c r="P6" s="15"/>
      <c r="Q6" s="15"/>
      <c r="R6" s="15"/>
      <c r="S6" s="15"/>
      <c r="T6" s="15">
        <v>6545.28</v>
      </c>
      <c r="U6" s="18">
        <f>SUM(O6:T6)</f>
        <v>19188.6</v>
      </c>
      <c r="V6" s="81">
        <v>139</v>
      </c>
      <c r="W6" s="14">
        <f>ROUND(X34*V6,2)</f>
        <v>20731.85</v>
      </c>
      <c r="X6" s="30">
        <f>W6-U6</f>
        <v>1543.25</v>
      </c>
      <c r="Y6" s="138">
        <f>X6*Q37/100</f>
        <v>804.607339</v>
      </c>
      <c r="Z6" s="16">
        <f>ROUND(Y6/12,2)</f>
        <v>67.05</v>
      </c>
      <c r="AA6" s="18">
        <f>ROUND(Y6+Z6,2)</f>
        <v>871.66</v>
      </c>
      <c r="AB6" s="16">
        <f>ROUND(AA6*0.3838,2)</f>
        <v>334.54</v>
      </c>
      <c r="AC6" s="56">
        <f>AA6+AB6</f>
        <v>1206.2</v>
      </c>
      <c r="AD6" s="58">
        <f>ROUND(AC6*I6,2)</f>
        <v>6191424.6</v>
      </c>
      <c r="AE6" s="138">
        <f t="shared" si="0"/>
        <v>67.05</v>
      </c>
    </row>
    <row r="7" spans="1:31" ht="17.25" customHeight="1" thickBot="1">
      <c r="A7" s="94" t="s">
        <v>62</v>
      </c>
      <c r="B7" s="96" t="s">
        <v>40</v>
      </c>
      <c r="C7" s="5">
        <v>0</v>
      </c>
      <c r="D7" s="5">
        <v>109</v>
      </c>
      <c r="E7" s="5">
        <v>1630</v>
      </c>
      <c r="F7" s="5">
        <v>110</v>
      </c>
      <c r="G7" s="5">
        <v>297</v>
      </c>
      <c r="H7" s="5">
        <v>0</v>
      </c>
      <c r="I7" s="37">
        <f>C7+D7+E7+F7+G7+H7</f>
        <v>2146</v>
      </c>
      <c r="J7" s="45" t="s">
        <v>8</v>
      </c>
      <c r="K7" s="46"/>
      <c r="L7" s="46"/>
      <c r="M7" s="47"/>
      <c r="N7" s="47"/>
      <c r="O7" s="48">
        <f>11861.89</f>
        <v>11861.89</v>
      </c>
      <c r="P7" s="48"/>
      <c r="Q7" s="48"/>
      <c r="R7" s="48"/>
      <c r="S7" s="48"/>
      <c r="T7" s="14">
        <v>6495.48</v>
      </c>
      <c r="U7" s="71">
        <f>SUM(O7:T7)</f>
        <v>18357.37</v>
      </c>
      <c r="V7" s="82">
        <v>133.25</v>
      </c>
      <c r="W7" s="14">
        <f>ROUND(X34*V7,2)</f>
        <v>19874.24</v>
      </c>
      <c r="X7" s="34">
        <f>W7-U7</f>
        <v>1516.8700000000026</v>
      </c>
      <c r="Y7" s="138">
        <f>X7*Q37/100</f>
        <v>790.8535456400014</v>
      </c>
      <c r="Z7" s="16">
        <f>ROUND(Y7/12,2)</f>
        <v>65.9</v>
      </c>
      <c r="AA7" s="18">
        <f>ROUND(Y7+Z7,2)</f>
        <v>856.75</v>
      </c>
      <c r="AB7" s="16">
        <f>ROUND(AA7*0.3838,2)</f>
        <v>328.82</v>
      </c>
      <c r="AC7" s="57">
        <f>AA7+AB7</f>
        <v>1185.57</v>
      </c>
      <c r="AD7" s="58">
        <f>ROUND(AC7*I7,2)</f>
        <v>2544233.22</v>
      </c>
      <c r="AE7" s="138">
        <f t="shared" si="0"/>
        <v>65.9</v>
      </c>
    </row>
    <row r="8" spans="2:31" ht="25.5" customHeight="1" thickBot="1">
      <c r="B8" s="29" t="s">
        <v>13</v>
      </c>
      <c r="C8" s="26"/>
      <c r="D8" s="26"/>
      <c r="E8" s="27"/>
      <c r="F8" s="27"/>
      <c r="G8" s="26"/>
      <c r="H8" s="26"/>
      <c r="I8" s="27"/>
      <c r="J8" s="24"/>
      <c r="K8" s="52"/>
      <c r="L8" s="52"/>
      <c r="M8" s="53"/>
      <c r="N8" s="53"/>
      <c r="O8" s="54"/>
      <c r="P8" s="54"/>
      <c r="Q8" s="54"/>
      <c r="R8" s="54"/>
      <c r="S8" s="54"/>
      <c r="T8" s="62"/>
      <c r="U8" s="72"/>
      <c r="V8" s="62"/>
      <c r="W8" s="62"/>
      <c r="X8" s="75"/>
      <c r="Y8" s="139"/>
      <c r="Z8" s="20"/>
      <c r="AA8" s="21"/>
      <c r="AB8" s="20"/>
      <c r="AC8" s="20"/>
      <c r="AD8" s="21"/>
      <c r="AE8" s="139"/>
    </row>
    <row r="9" spans="1:31" ht="27.75" customHeight="1" thickBot="1">
      <c r="A9" s="94" t="s">
        <v>58</v>
      </c>
      <c r="B9" s="97" t="s">
        <v>146</v>
      </c>
      <c r="C9" s="63">
        <v>140</v>
      </c>
      <c r="D9" s="63">
        <v>170</v>
      </c>
      <c r="E9" s="63">
        <v>3360</v>
      </c>
      <c r="F9" s="63">
        <v>2392</v>
      </c>
      <c r="G9" s="63">
        <v>3105</v>
      </c>
      <c r="H9" s="63">
        <v>2661</v>
      </c>
      <c r="I9" s="36">
        <f aca="true" t="shared" si="1" ref="I9:I18">C9+D9+E9+F9+G9+H9</f>
        <v>11828</v>
      </c>
      <c r="J9" s="161" t="s">
        <v>8</v>
      </c>
      <c r="K9" s="49"/>
      <c r="L9" s="49">
        <v>2</v>
      </c>
      <c r="M9" s="49"/>
      <c r="N9" s="50">
        <f>IF(L9=1,0.025,0.05)</f>
        <v>0.05</v>
      </c>
      <c r="O9" s="51">
        <f>11861.89</f>
        <v>11861.89</v>
      </c>
      <c r="P9" s="51"/>
      <c r="Q9" s="51">
        <f>(O9)*N9</f>
        <v>593.0945</v>
      </c>
      <c r="R9" s="44"/>
      <c r="S9" s="51">
        <v>781.43</v>
      </c>
      <c r="T9" s="14">
        <v>6495.48</v>
      </c>
      <c r="U9" s="70">
        <f aca="true" t="shared" si="2" ref="U9:U18">SUM(O9:T9)</f>
        <v>19731.8945</v>
      </c>
      <c r="V9" s="83">
        <v>139</v>
      </c>
      <c r="W9" s="73">
        <f>ROUND(X34*V9,2)</f>
        <v>20731.85</v>
      </c>
      <c r="X9" s="74">
        <f aca="true" t="shared" si="3" ref="X9:X18">W9-U9</f>
        <v>999.9555</v>
      </c>
      <c r="Y9" s="138">
        <f>X9*Q37/100</f>
        <v>521.348798946</v>
      </c>
      <c r="Z9" s="16">
        <f aca="true" t="shared" si="4" ref="Z9:Z18">ROUND(Y9/12,2)</f>
        <v>43.45</v>
      </c>
      <c r="AA9" s="18">
        <f aca="true" t="shared" si="5" ref="AA9:AA18">ROUND(Y9+Z9,2)</f>
        <v>564.8</v>
      </c>
      <c r="AB9" s="16">
        <f aca="true" t="shared" si="6" ref="AB9:AB18">ROUND(AA9*0.3838,2)</f>
        <v>216.77</v>
      </c>
      <c r="AC9" s="55">
        <f aca="true" t="shared" si="7" ref="AC9:AC18">AA9+AB9</f>
        <v>781.5699999999999</v>
      </c>
      <c r="AD9" s="58">
        <f aca="true" t="shared" si="8" ref="AD9:AD18">ROUND(AC9*I9,2)</f>
        <v>9244409.96</v>
      </c>
      <c r="AE9" s="138">
        <f t="shared" si="0"/>
        <v>43.45</v>
      </c>
    </row>
    <row r="10" spans="1:31" ht="37.5" customHeight="1" thickBot="1">
      <c r="A10" s="98" t="s">
        <v>147</v>
      </c>
      <c r="B10" s="198" t="s">
        <v>152</v>
      </c>
      <c r="C10" s="2">
        <v>263</v>
      </c>
      <c r="D10" s="2">
        <v>173</v>
      </c>
      <c r="E10" s="2">
        <v>6880</v>
      </c>
      <c r="F10" s="2">
        <v>4306</v>
      </c>
      <c r="G10" s="2">
        <v>6873</v>
      </c>
      <c r="H10" s="2">
        <v>2577</v>
      </c>
      <c r="I10" s="35">
        <f t="shared" si="1"/>
        <v>21072</v>
      </c>
      <c r="J10" s="156"/>
      <c r="K10" s="3"/>
      <c r="L10" s="3">
        <v>1</v>
      </c>
      <c r="M10" s="3"/>
      <c r="N10" s="9">
        <f>IF(L10=1,0.025,0.05)</f>
        <v>0.025</v>
      </c>
      <c r="O10" s="15">
        <f>11861.89</f>
        <v>11861.89</v>
      </c>
      <c r="P10" s="15"/>
      <c r="Q10" s="15">
        <f>(O10)*N10</f>
        <v>296.54725</v>
      </c>
      <c r="R10" s="17"/>
      <c r="S10" s="15">
        <v>781.43</v>
      </c>
      <c r="T10" s="14">
        <v>6495.48</v>
      </c>
      <c r="U10" s="18">
        <f t="shared" si="2"/>
        <v>19435.34725</v>
      </c>
      <c r="V10" s="164">
        <v>135.5</v>
      </c>
      <c r="W10" s="73">
        <f>ROUND(X34*V10,2)</f>
        <v>20209.83</v>
      </c>
      <c r="X10" s="30">
        <f t="shared" si="3"/>
        <v>774.4827500000029</v>
      </c>
      <c r="Y10" s="138">
        <f>X10*Q37/100</f>
        <v>403.79362033300146</v>
      </c>
      <c r="Z10" s="16">
        <f t="shared" si="4"/>
        <v>33.65</v>
      </c>
      <c r="AA10" s="18">
        <f t="shared" si="5"/>
        <v>437.44</v>
      </c>
      <c r="AB10" s="16">
        <f t="shared" si="6"/>
        <v>167.89</v>
      </c>
      <c r="AC10" s="56">
        <f t="shared" si="7"/>
        <v>605.3299999999999</v>
      </c>
      <c r="AD10" s="58">
        <f t="shared" si="8"/>
        <v>12755513.76</v>
      </c>
      <c r="AE10" s="138">
        <f t="shared" si="0"/>
        <v>33.65</v>
      </c>
    </row>
    <row r="11" spans="1:31" ht="30.75" customHeight="1" thickBot="1">
      <c r="A11" s="99" t="s">
        <v>148</v>
      </c>
      <c r="B11" s="199"/>
      <c r="C11" s="2">
        <v>0</v>
      </c>
      <c r="D11" s="2">
        <v>0</v>
      </c>
      <c r="E11" s="2">
        <v>3440</v>
      </c>
      <c r="F11" s="2">
        <v>0</v>
      </c>
      <c r="G11" s="2">
        <v>32</v>
      </c>
      <c r="H11" s="2">
        <v>0</v>
      </c>
      <c r="I11" s="35">
        <f t="shared" si="1"/>
        <v>3472</v>
      </c>
      <c r="J11" s="156"/>
      <c r="K11" s="3"/>
      <c r="L11" s="3"/>
      <c r="M11" s="3"/>
      <c r="N11" s="9"/>
      <c r="O11" s="15">
        <f>11861.89</f>
        <v>11861.89</v>
      </c>
      <c r="P11" s="15"/>
      <c r="Q11" s="15"/>
      <c r="R11" s="17"/>
      <c r="S11" s="15">
        <v>781.43</v>
      </c>
      <c r="T11" s="14">
        <v>6495.48</v>
      </c>
      <c r="U11" s="18">
        <f t="shared" si="2"/>
        <v>19138.8</v>
      </c>
      <c r="V11" s="165"/>
      <c r="W11" s="73">
        <f>ROUND(X34*V10,2)</f>
        <v>20209.83</v>
      </c>
      <c r="X11" s="30">
        <f t="shared" si="3"/>
        <v>1071.0300000000025</v>
      </c>
      <c r="Y11" s="138">
        <f>X11*Q37/100</f>
        <v>558.4050531600012</v>
      </c>
      <c r="Z11" s="16">
        <f t="shared" si="4"/>
        <v>46.53</v>
      </c>
      <c r="AA11" s="18">
        <f t="shared" si="5"/>
        <v>604.94</v>
      </c>
      <c r="AB11" s="16">
        <f t="shared" si="6"/>
        <v>232.18</v>
      </c>
      <c r="AC11" s="56">
        <f t="shared" si="7"/>
        <v>837.1200000000001</v>
      </c>
      <c r="AD11" s="58">
        <f t="shared" si="8"/>
        <v>2906480.64</v>
      </c>
      <c r="AE11" s="138">
        <f t="shared" si="0"/>
        <v>46.53</v>
      </c>
    </row>
    <row r="12" spans="1:31" ht="33.75" customHeight="1" thickBot="1">
      <c r="A12" s="100" t="s">
        <v>149</v>
      </c>
      <c r="B12" s="200"/>
      <c r="C12" s="2">
        <v>59</v>
      </c>
      <c r="D12" s="2">
        <v>111</v>
      </c>
      <c r="E12" s="2">
        <v>0</v>
      </c>
      <c r="F12" s="2">
        <v>594</v>
      </c>
      <c r="G12" s="2">
        <v>500</v>
      </c>
      <c r="H12" s="2">
        <v>346</v>
      </c>
      <c r="I12" s="35">
        <f t="shared" si="1"/>
        <v>1610</v>
      </c>
      <c r="J12" s="156"/>
      <c r="K12" s="3"/>
      <c r="L12" s="3">
        <v>1</v>
      </c>
      <c r="M12" s="3"/>
      <c r="N12" s="9">
        <f>IF(L12=1,0.025,0.05)</f>
        <v>0.025</v>
      </c>
      <c r="O12" s="15">
        <f>11861.89</f>
        <v>11861.89</v>
      </c>
      <c r="P12" s="15"/>
      <c r="Q12" s="15">
        <f>(O12)*N12</f>
        <v>296.54725</v>
      </c>
      <c r="R12" s="17"/>
      <c r="S12" s="15"/>
      <c r="T12" s="14">
        <v>6495.48</v>
      </c>
      <c r="U12" s="18">
        <f t="shared" si="2"/>
        <v>18653.91725</v>
      </c>
      <c r="V12" s="166"/>
      <c r="W12" s="73">
        <f>ROUND(X34*V10,2)</f>
        <v>20209.83</v>
      </c>
      <c r="X12" s="30">
        <f t="shared" si="3"/>
        <v>1555.9127500000031</v>
      </c>
      <c r="Y12" s="138">
        <f>X12*Q37/100</f>
        <v>811.2093422930017</v>
      </c>
      <c r="Z12" s="16">
        <f t="shared" si="4"/>
        <v>67.6</v>
      </c>
      <c r="AA12" s="18">
        <f t="shared" si="5"/>
        <v>878.81</v>
      </c>
      <c r="AB12" s="16">
        <f t="shared" si="6"/>
        <v>337.29</v>
      </c>
      <c r="AC12" s="56">
        <f t="shared" si="7"/>
        <v>1216.1</v>
      </c>
      <c r="AD12" s="58">
        <f t="shared" si="8"/>
        <v>1957921</v>
      </c>
      <c r="AE12" s="138">
        <f t="shared" si="0"/>
        <v>67.6</v>
      </c>
    </row>
    <row r="13" spans="1:31" s="8" customFormat="1" ht="44.25" customHeight="1" thickBot="1">
      <c r="A13" s="101" t="s">
        <v>150</v>
      </c>
      <c r="B13" s="97" t="s">
        <v>151</v>
      </c>
      <c r="C13" s="2">
        <v>29</v>
      </c>
      <c r="D13" s="2">
        <v>0</v>
      </c>
      <c r="E13" s="2">
        <v>1717</v>
      </c>
      <c r="F13" s="2">
        <v>930</v>
      </c>
      <c r="G13" s="2">
        <v>317</v>
      </c>
      <c r="H13" s="2">
        <v>623</v>
      </c>
      <c r="I13" s="35">
        <f t="shared" si="1"/>
        <v>3616</v>
      </c>
      <c r="J13" s="156"/>
      <c r="K13" s="3"/>
      <c r="L13" s="3"/>
      <c r="M13" s="3"/>
      <c r="N13" s="9"/>
      <c r="O13" s="15">
        <f>11861.89</f>
        <v>11861.89</v>
      </c>
      <c r="P13" s="15"/>
      <c r="Q13" s="15"/>
      <c r="R13" s="15"/>
      <c r="S13" s="15"/>
      <c r="T13" s="14">
        <v>6495.48</v>
      </c>
      <c r="U13" s="18">
        <f t="shared" si="2"/>
        <v>18357.37</v>
      </c>
      <c r="V13" s="81">
        <v>133</v>
      </c>
      <c r="W13" s="73">
        <f>ROUND(X34*V13,2)</f>
        <v>19836.95</v>
      </c>
      <c r="X13" s="30">
        <f t="shared" si="3"/>
        <v>1479.5800000000017</v>
      </c>
      <c r="Y13" s="138">
        <f>X13*Q37/100</f>
        <v>771.4115837600009</v>
      </c>
      <c r="Z13" s="16">
        <f t="shared" si="4"/>
        <v>64.28</v>
      </c>
      <c r="AA13" s="18">
        <f t="shared" si="5"/>
        <v>835.69</v>
      </c>
      <c r="AB13" s="16">
        <f t="shared" si="6"/>
        <v>320.74</v>
      </c>
      <c r="AC13" s="56">
        <f t="shared" si="7"/>
        <v>1156.43</v>
      </c>
      <c r="AD13" s="58">
        <f t="shared" si="8"/>
        <v>4181650.88</v>
      </c>
      <c r="AE13" s="138">
        <f t="shared" si="0"/>
        <v>64.28</v>
      </c>
    </row>
    <row r="14" spans="1:31" ht="21" customHeight="1" thickBot="1">
      <c r="A14" s="102" t="s">
        <v>63</v>
      </c>
      <c r="B14" s="97" t="s">
        <v>6</v>
      </c>
      <c r="C14" s="2">
        <v>714</v>
      </c>
      <c r="D14" s="2">
        <v>993</v>
      </c>
      <c r="E14" s="2">
        <v>26085</v>
      </c>
      <c r="F14" s="2">
        <v>8769</v>
      </c>
      <c r="G14" s="2">
        <v>12562</v>
      </c>
      <c r="H14" s="2">
        <v>12193</v>
      </c>
      <c r="I14" s="35">
        <f t="shared" si="1"/>
        <v>61316</v>
      </c>
      <c r="J14" s="13" t="s">
        <v>26</v>
      </c>
      <c r="K14" s="3"/>
      <c r="L14" s="3"/>
      <c r="M14" s="3"/>
      <c r="N14" s="9"/>
      <c r="O14" s="15">
        <f>11082.86</f>
        <v>11082.86</v>
      </c>
      <c r="P14" s="15"/>
      <c r="Q14" s="15"/>
      <c r="R14" s="15"/>
      <c r="S14" s="15"/>
      <c r="T14" s="15">
        <v>6445.8</v>
      </c>
      <c r="U14" s="18">
        <f t="shared" si="2"/>
        <v>17528.66</v>
      </c>
      <c r="V14" s="81">
        <v>128</v>
      </c>
      <c r="W14" s="73">
        <f>ROUND(X34*V14,2)</f>
        <v>19091.2</v>
      </c>
      <c r="X14" s="30">
        <f t="shared" si="3"/>
        <v>1562.5400000000009</v>
      </c>
      <c r="Y14" s="138">
        <f>X14*Q37/100</f>
        <v>814.6646048800004</v>
      </c>
      <c r="Z14" s="16">
        <f t="shared" si="4"/>
        <v>67.89</v>
      </c>
      <c r="AA14" s="18">
        <f t="shared" si="5"/>
        <v>882.55</v>
      </c>
      <c r="AB14" s="16">
        <f t="shared" si="6"/>
        <v>338.72</v>
      </c>
      <c r="AC14" s="56">
        <f t="shared" si="7"/>
        <v>1221.27</v>
      </c>
      <c r="AD14" s="58">
        <f t="shared" si="8"/>
        <v>74883391.32</v>
      </c>
      <c r="AE14" s="138">
        <f t="shared" si="0"/>
        <v>67.89</v>
      </c>
    </row>
    <row r="15" spans="1:31" ht="20.25" customHeight="1" thickBot="1">
      <c r="A15" s="103" t="s">
        <v>64</v>
      </c>
      <c r="B15" s="146" t="s">
        <v>29</v>
      </c>
      <c r="C15" s="2">
        <v>292</v>
      </c>
      <c r="D15" s="2">
        <v>634</v>
      </c>
      <c r="E15" s="2">
        <v>14305</v>
      </c>
      <c r="F15" s="2">
        <v>3853</v>
      </c>
      <c r="G15" s="2">
        <v>3494</v>
      </c>
      <c r="H15" s="2">
        <v>2240</v>
      </c>
      <c r="I15" s="35">
        <f t="shared" si="1"/>
        <v>24818</v>
      </c>
      <c r="J15" s="156" t="s">
        <v>9</v>
      </c>
      <c r="K15" s="3">
        <v>1</v>
      </c>
      <c r="L15" s="3"/>
      <c r="M15" s="9">
        <f>IF(K15=1,0.025,0.05)</f>
        <v>0.025</v>
      </c>
      <c r="N15" s="9"/>
      <c r="O15" s="15">
        <f>10379.57</f>
        <v>10379.57</v>
      </c>
      <c r="P15" s="15">
        <f>(O15)*M15</f>
        <v>259.48925</v>
      </c>
      <c r="Q15" s="15"/>
      <c r="R15" s="15">
        <v>258.23</v>
      </c>
      <c r="S15" s="15"/>
      <c r="T15" s="15">
        <v>6408.48</v>
      </c>
      <c r="U15" s="18">
        <f t="shared" si="2"/>
        <v>17305.769249999998</v>
      </c>
      <c r="V15" s="154">
        <v>124</v>
      </c>
      <c r="W15" s="73">
        <f>ROUND(X34*V15,2)</f>
        <v>18494.6</v>
      </c>
      <c r="X15" s="30">
        <f t="shared" si="3"/>
        <v>1188.830750000001</v>
      </c>
      <c r="Y15" s="138">
        <f>X15*Q37/100</f>
        <v>619.8230657890006</v>
      </c>
      <c r="Z15" s="16">
        <f t="shared" si="4"/>
        <v>51.65</v>
      </c>
      <c r="AA15" s="18">
        <f t="shared" si="5"/>
        <v>671.47</v>
      </c>
      <c r="AB15" s="16">
        <f t="shared" si="6"/>
        <v>257.71</v>
      </c>
      <c r="AC15" s="56">
        <f t="shared" si="7"/>
        <v>929.1800000000001</v>
      </c>
      <c r="AD15" s="58">
        <f t="shared" si="8"/>
        <v>23060389.24</v>
      </c>
      <c r="AE15" s="138">
        <f t="shared" si="0"/>
        <v>51.65</v>
      </c>
    </row>
    <row r="16" spans="1:31" ht="23.25" customHeight="1" thickBot="1">
      <c r="A16" s="104" t="s">
        <v>65</v>
      </c>
      <c r="B16" s="147"/>
      <c r="C16" s="2">
        <v>5</v>
      </c>
      <c r="D16" s="2">
        <v>449</v>
      </c>
      <c r="E16" s="2">
        <v>9537</v>
      </c>
      <c r="F16" s="2">
        <v>1219</v>
      </c>
      <c r="G16" s="2">
        <v>1293</v>
      </c>
      <c r="H16" s="2">
        <v>14</v>
      </c>
      <c r="I16" s="35">
        <f t="shared" si="1"/>
        <v>12517</v>
      </c>
      <c r="J16" s="156"/>
      <c r="K16" s="3">
        <v>1</v>
      </c>
      <c r="L16" s="3"/>
      <c r="M16" s="9">
        <f>IF(K16=1,0.025,0.05)</f>
        <v>0.025</v>
      </c>
      <c r="N16" s="9"/>
      <c r="O16" s="15">
        <f>10379.57</f>
        <v>10379.57</v>
      </c>
      <c r="P16" s="15">
        <f>(O16)*M16</f>
        <v>259.48925</v>
      </c>
      <c r="Q16" s="15"/>
      <c r="R16" s="15"/>
      <c r="S16" s="15"/>
      <c r="T16" s="15">
        <v>6408.48</v>
      </c>
      <c r="U16" s="18">
        <f t="shared" si="2"/>
        <v>17047.53925</v>
      </c>
      <c r="V16" s="155"/>
      <c r="W16" s="73">
        <f>ROUND(X34*V15,2)</f>
        <v>18494.6</v>
      </c>
      <c r="X16" s="30">
        <f t="shared" si="3"/>
        <v>1447.060749999997</v>
      </c>
      <c r="Y16" s="138">
        <f>X16*Q37/100</f>
        <v>754.4569573489985</v>
      </c>
      <c r="Z16" s="16">
        <f t="shared" si="4"/>
        <v>62.87</v>
      </c>
      <c r="AA16" s="18">
        <f t="shared" si="5"/>
        <v>817.33</v>
      </c>
      <c r="AB16" s="16">
        <f t="shared" si="6"/>
        <v>313.69</v>
      </c>
      <c r="AC16" s="56">
        <f t="shared" si="7"/>
        <v>1131.02</v>
      </c>
      <c r="AD16" s="58">
        <f t="shared" si="8"/>
        <v>14156977.34</v>
      </c>
      <c r="AE16" s="138">
        <f t="shared" si="0"/>
        <v>62.87</v>
      </c>
    </row>
    <row r="17" spans="1:31" ht="22.5" customHeight="1" thickBot="1">
      <c r="A17" s="103" t="s">
        <v>66</v>
      </c>
      <c r="B17" s="146" t="s">
        <v>28</v>
      </c>
      <c r="C17" s="2">
        <v>0</v>
      </c>
      <c r="D17" s="2">
        <v>0</v>
      </c>
      <c r="E17" s="2">
        <v>1209</v>
      </c>
      <c r="F17" s="2">
        <v>0</v>
      </c>
      <c r="G17" s="2">
        <v>394</v>
      </c>
      <c r="H17" s="2">
        <v>65</v>
      </c>
      <c r="I17" s="35">
        <f t="shared" si="1"/>
        <v>1668</v>
      </c>
      <c r="J17" s="156" t="s">
        <v>7</v>
      </c>
      <c r="K17" s="3">
        <v>2</v>
      </c>
      <c r="L17" s="3"/>
      <c r="M17" s="9">
        <f>IF(K17=1,0.025,0.05)</f>
        <v>0.05</v>
      </c>
      <c r="N17" s="9"/>
      <c r="O17" s="15">
        <f>9675.07</f>
        <v>9675.07</v>
      </c>
      <c r="P17" s="15">
        <f>(O17)*M17</f>
        <v>483.75350000000003</v>
      </c>
      <c r="Q17" s="15"/>
      <c r="R17" s="15">
        <v>258.23</v>
      </c>
      <c r="S17" s="15"/>
      <c r="T17" s="15">
        <v>6371.04</v>
      </c>
      <c r="U17" s="18">
        <f t="shared" si="2"/>
        <v>16788.0935</v>
      </c>
      <c r="V17" s="154">
        <v>120.75</v>
      </c>
      <c r="W17" s="73">
        <f>ROUND(X34*V17,2)</f>
        <v>18009.86</v>
      </c>
      <c r="X17" s="30">
        <f t="shared" si="3"/>
        <v>1221.7665000000015</v>
      </c>
      <c r="Y17" s="138">
        <f>X17*Q37/100</f>
        <v>636.9948436380008</v>
      </c>
      <c r="Z17" s="16">
        <f t="shared" si="4"/>
        <v>53.08</v>
      </c>
      <c r="AA17" s="18">
        <f t="shared" si="5"/>
        <v>690.07</v>
      </c>
      <c r="AB17" s="16">
        <f t="shared" si="6"/>
        <v>264.85</v>
      </c>
      <c r="AC17" s="56">
        <f t="shared" si="7"/>
        <v>954.9200000000001</v>
      </c>
      <c r="AD17" s="58">
        <f t="shared" si="8"/>
        <v>1592806.56</v>
      </c>
      <c r="AE17" s="138">
        <f t="shared" si="0"/>
        <v>53.08</v>
      </c>
    </row>
    <row r="18" spans="1:31" ht="19.5" customHeight="1" thickBot="1">
      <c r="A18" s="104" t="s">
        <v>67</v>
      </c>
      <c r="B18" s="147"/>
      <c r="C18" s="64">
        <v>31</v>
      </c>
      <c r="D18" s="64">
        <v>170</v>
      </c>
      <c r="E18" s="60">
        <v>1209</v>
      </c>
      <c r="F18" s="60">
        <v>200</v>
      </c>
      <c r="G18" s="60">
        <v>391</v>
      </c>
      <c r="H18" s="60">
        <v>0</v>
      </c>
      <c r="I18" s="37">
        <f t="shared" si="1"/>
        <v>2001</v>
      </c>
      <c r="J18" s="157"/>
      <c r="K18" s="7">
        <v>2</v>
      </c>
      <c r="L18" s="7"/>
      <c r="M18" s="11">
        <f>IF(K18=1,0.025,0.05)</f>
        <v>0.05</v>
      </c>
      <c r="N18" s="11"/>
      <c r="O18" s="14">
        <f>9675.07</f>
        <v>9675.07</v>
      </c>
      <c r="P18" s="14">
        <f>(O18)*M18</f>
        <v>483.75350000000003</v>
      </c>
      <c r="Q18" s="14"/>
      <c r="R18" s="14"/>
      <c r="S18" s="14"/>
      <c r="T18" s="15">
        <v>6371.04</v>
      </c>
      <c r="U18" s="18">
        <f t="shared" si="2"/>
        <v>16529.8635</v>
      </c>
      <c r="V18" s="160"/>
      <c r="W18" s="73">
        <f>ROUND(X34*V17,2)</f>
        <v>18009.86</v>
      </c>
      <c r="X18" s="34">
        <f t="shared" si="3"/>
        <v>1479.996500000001</v>
      </c>
      <c r="Y18" s="138">
        <f>X18*Q37/100</f>
        <v>771.6287351980005</v>
      </c>
      <c r="Z18" s="16">
        <f t="shared" si="4"/>
        <v>64.3</v>
      </c>
      <c r="AA18" s="18">
        <f t="shared" si="5"/>
        <v>835.93</v>
      </c>
      <c r="AB18" s="16">
        <f t="shared" si="6"/>
        <v>320.83</v>
      </c>
      <c r="AC18" s="59">
        <f t="shared" si="7"/>
        <v>1156.76</v>
      </c>
      <c r="AD18" s="58">
        <f t="shared" si="8"/>
        <v>2314676.76</v>
      </c>
      <c r="AE18" s="138">
        <f t="shared" si="0"/>
        <v>64.3</v>
      </c>
    </row>
    <row r="19" spans="2:31" ht="24.75" customHeight="1" thickBot="1">
      <c r="B19" s="105" t="s">
        <v>14</v>
      </c>
      <c r="C19" s="26"/>
      <c r="D19" s="26"/>
      <c r="E19" s="27"/>
      <c r="F19" s="27"/>
      <c r="G19" s="26"/>
      <c r="H19" s="26"/>
      <c r="I19" s="27"/>
      <c r="J19" s="8"/>
      <c r="K19" s="8"/>
      <c r="L19" s="8"/>
      <c r="M19" s="8"/>
      <c r="N19" s="8"/>
      <c r="O19" s="20"/>
      <c r="P19" s="20"/>
      <c r="Q19" s="20"/>
      <c r="R19" s="20"/>
      <c r="S19" s="20"/>
      <c r="T19" s="62"/>
      <c r="U19" s="21"/>
      <c r="V19" s="20"/>
      <c r="W19" s="77"/>
      <c r="X19" s="19"/>
      <c r="Y19" s="139"/>
      <c r="Z19" s="20"/>
      <c r="AA19" s="21"/>
      <c r="AB19" s="20"/>
      <c r="AC19" s="20"/>
      <c r="AD19" s="21"/>
      <c r="AE19" s="139"/>
    </row>
    <row r="20" spans="1:31" ht="24" customHeight="1" thickBot="1">
      <c r="A20" s="106" t="s">
        <v>68</v>
      </c>
      <c r="B20" s="146" t="s">
        <v>69</v>
      </c>
      <c r="C20" s="31">
        <v>113</v>
      </c>
      <c r="D20" s="63">
        <v>103</v>
      </c>
      <c r="E20" s="63">
        <v>0</v>
      </c>
      <c r="F20" s="63">
        <v>183</v>
      </c>
      <c r="G20" s="63">
        <v>1200</v>
      </c>
      <c r="H20" s="63">
        <v>1721</v>
      </c>
      <c r="I20" s="63">
        <f aca="true" t="shared" si="9" ref="I20:I26">C20+D20+E20+F20+G20+H20</f>
        <v>3320</v>
      </c>
      <c r="J20" s="161" t="s">
        <v>9</v>
      </c>
      <c r="K20" s="6"/>
      <c r="L20" s="6">
        <v>1</v>
      </c>
      <c r="M20" s="10"/>
      <c r="N20" s="10">
        <f>IF(L20=1,0.025,0.05)</f>
        <v>0.025</v>
      </c>
      <c r="O20" s="16">
        <f>10379.57</f>
        <v>10379.57</v>
      </c>
      <c r="P20" s="16"/>
      <c r="Q20" s="16">
        <f>(O20)*N20</f>
        <v>259.48925</v>
      </c>
      <c r="R20" s="16"/>
      <c r="S20" s="16">
        <v>232.41</v>
      </c>
      <c r="T20" s="15">
        <v>6408.48</v>
      </c>
      <c r="U20" s="18">
        <f aca="true" t="shared" si="10" ref="U20:U26">SUM(O20:T20)</f>
        <v>17279.949249999998</v>
      </c>
      <c r="V20" s="162">
        <v>122.5</v>
      </c>
      <c r="W20" s="73">
        <f>ROUND(X34*V20,2)</f>
        <v>18270.88</v>
      </c>
      <c r="X20" s="32">
        <f aca="true" t="shared" si="11" ref="X20:X26">W20-U20</f>
        <v>990.9307500000032</v>
      </c>
      <c r="Y20" s="138">
        <f>X20*Q37/100</f>
        <v>516.6435469890016</v>
      </c>
      <c r="Z20" s="16">
        <f aca="true" t="shared" si="12" ref="Z20:Z26">ROUND(Y20/12,2)</f>
        <v>43.05</v>
      </c>
      <c r="AA20" s="18">
        <f aca="true" t="shared" si="13" ref="AA20:AA26">ROUND(Y20+Z20,2)</f>
        <v>559.69</v>
      </c>
      <c r="AB20" s="16">
        <f aca="true" t="shared" si="14" ref="AB20:AB26">ROUND(AA20*0.3838,2)</f>
        <v>214.81</v>
      </c>
      <c r="AC20" s="55">
        <f aca="true" t="shared" si="15" ref="AC20:AC26">AA20+AB20</f>
        <v>774.5</v>
      </c>
      <c r="AD20" s="58">
        <f aca="true" t="shared" si="16" ref="AD20:AD26">ROUND(AC20*I20,2)</f>
        <v>2571340</v>
      </c>
      <c r="AE20" s="138">
        <f t="shared" si="0"/>
        <v>43.05</v>
      </c>
    </row>
    <row r="21" spans="1:31" ht="22.5" customHeight="1" thickBot="1">
      <c r="A21" s="107" t="s">
        <v>70</v>
      </c>
      <c r="B21" s="179"/>
      <c r="C21" s="2">
        <v>11</v>
      </c>
      <c r="D21" s="2">
        <v>13</v>
      </c>
      <c r="E21" s="2">
        <v>0</v>
      </c>
      <c r="F21" s="2">
        <v>1020</v>
      </c>
      <c r="G21" s="2">
        <v>448</v>
      </c>
      <c r="H21" s="2">
        <v>587</v>
      </c>
      <c r="I21" s="2">
        <f t="shared" si="9"/>
        <v>2079</v>
      </c>
      <c r="J21" s="156"/>
      <c r="K21" s="3"/>
      <c r="L21" s="3"/>
      <c r="M21" s="9"/>
      <c r="N21" s="9">
        <f>IF(L21=1,0.025,0.05)</f>
        <v>0.05</v>
      </c>
      <c r="O21" s="15">
        <f>10379.57</f>
        <v>10379.57</v>
      </c>
      <c r="P21" s="15"/>
      <c r="Q21" s="15"/>
      <c r="R21" s="15"/>
      <c r="S21" s="15">
        <v>232.41</v>
      </c>
      <c r="T21" s="15">
        <v>6408.48</v>
      </c>
      <c r="U21" s="18">
        <f t="shared" si="10"/>
        <v>17020.46</v>
      </c>
      <c r="V21" s="163"/>
      <c r="W21" s="73">
        <f>ROUND(X34*V20,2)</f>
        <v>18270.88</v>
      </c>
      <c r="X21" s="30">
        <f t="shared" si="11"/>
        <v>1250.420000000002</v>
      </c>
      <c r="Y21" s="138">
        <f>X21*Q37/100</f>
        <v>651.933976240001</v>
      </c>
      <c r="Z21" s="16">
        <f t="shared" si="12"/>
        <v>54.33</v>
      </c>
      <c r="AA21" s="18">
        <f t="shared" si="13"/>
        <v>706.26</v>
      </c>
      <c r="AB21" s="16">
        <f t="shared" si="14"/>
        <v>271.06</v>
      </c>
      <c r="AC21" s="56">
        <f t="shared" si="15"/>
        <v>977.3199999999999</v>
      </c>
      <c r="AD21" s="58">
        <f t="shared" si="16"/>
        <v>2031848.28</v>
      </c>
      <c r="AE21" s="138">
        <f t="shared" si="0"/>
        <v>54.33</v>
      </c>
    </row>
    <row r="22" spans="1:31" ht="24.75" customHeight="1" thickBot="1">
      <c r="A22" s="108" t="s">
        <v>71</v>
      </c>
      <c r="B22" s="147"/>
      <c r="C22" s="2">
        <v>13</v>
      </c>
      <c r="D22" s="2">
        <v>0</v>
      </c>
      <c r="E22" s="2">
        <v>11</v>
      </c>
      <c r="F22" s="2">
        <v>0</v>
      </c>
      <c r="G22" s="2">
        <v>177</v>
      </c>
      <c r="H22" s="2">
        <v>39</v>
      </c>
      <c r="I22" s="2">
        <f t="shared" si="9"/>
        <v>240</v>
      </c>
      <c r="J22" s="156"/>
      <c r="K22" s="3"/>
      <c r="L22" s="3">
        <v>1</v>
      </c>
      <c r="M22" s="9"/>
      <c r="N22" s="9">
        <f>IF(L22=1,0.025,0.05)</f>
        <v>0.025</v>
      </c>
      <c r="O22" s="15">
        <f>10379.57</f>
        <v>10379.57</v>
      </c>
      <c r="P22" s="15"/>
      <c r="Q22" s="15">
        <f>(O22)*N22</f>
        <v>259.48925</v>
      </c>
      <c r="R22" s="15"/>
      <c r="S22" s="15"/>
      <c r="T22" s="15">
        <v>6408.48</v>
      </c>
      <c r="U22" s="18">
        <f t="shared" si="10"/>
        <v>17047.53925</v>
      </c>
      <c r="V22" s="155"/>
      <c r="W22" s="73">
        <f>ROUND(X34*V20,2)</f>
        <v>18270.88</v>
      </c>
      <c r="X22" s="30">
        <f t="shared" si="11"/>
        <v>1223.3407499999994</v>
      </c>
      <c r="Y22" s="138">
        <f>X22*Q37/100</f>
        <v>637.8156135089997</v>
      </c>
      <c r="Z22" s="16">
        <f t="shared" si="12"/>
        <v>53.15</v>
      </c>
      <c r="AA22" s="18">
        <f t="shared" si="13"/>
        <v>690.97</v>
      </c>
      <c r="AB22" s="16">
        <f t="shared" si="14"/>
        <v>265.19</v>
      </c>
      <c r="AC22" s="56">
        <f t="shared" si="15"/>
        <v>956.1600000000001</v>
      </c>
      <c r="AD22" s="58">
        <f t="shared" si="16"/>
        <v>229478.4</v>
      </c>
      <c r="AE22" s="138">
        <f t="shared" si="0"/>
        <v>53.15</v>
      </c>
    </row>
    <row r="23" spans="1:31" ht="24.75" customHeight="1" thickBot="1">
      <c r="A23" s="109" t="s">
        <v>72</v>
      </c>
      <c r="B23" s="110" t="s">
        <v>30</v>
      </c>
      <c r="C23" s="2">
        <v>77</v>
      </c>
      <c r="D23" s="2">
        <v>264</v>
      </c>
      <c r="E23" s="2">
        <v>0</v>
      </c>
      <c r="F23" s="2">
        <v>558</v>
      </c>
      <c r="G23" s="2">
        <v>507</v>
      </c>
      <c r="H23" s="2">
        <v>2238</v>
      </c>
      <c r="I23" s="2">
        <f t="shared" si="9"/>
        <v>3644</v>
      </c>
      <c r="J23" s="13" t="s">
        <v>9</v>
      </c>
      <c r="K23" s="3"/>
      <c r="L23" s="3"/>
      <c r="M23" s="9"/>
      <c r="N23" s="9"/>
      <c r="O23" s="15">
        <f>10379.57</f>
        <v>10379.57</v>
      </c>
      <c r="P23" s="15"/>
      <c r="Q23" s="15"/>
      <c r="R23" s="15"/>
      <c r="S23" s="15"/>
      <c r="T23" s="15">
        <v>6408.48</v>
      </c>
      <c r="U23" s="18">
        <f t="shared" si="10"/>
        <v>16788.05</v>
      </c>
      <c r="V23" s="81">
        <v>120.25</v>
      </c>
      <c r="W23" s="73">
        <f>ROUND(X34*V23,2)</f>
        <v>17935.29</v>
      </c>
      <c r="X23" s="30">
        <f t="shared" si="11"/>
        <v>1147.2400000000016</v>
      </c>
      <c r="Y23" s="138">
        <f>X23*Q37/100</f>
        <v>598.1388132800008</v>
      </c>
      <c r="Z23" s="16">
        <f t="shared" si="12"/>
        <v>49.84</v>
      </c>
      <c r="AA23" s="18">
        <f t="shared" si="13"/>
        <v>647.98</v>
      </c>
      <c r="AB23" s="16">
        <f t="shared" si="14"/>
        <v>248.69</v>
      </c>
      <c r="AC23" s="56">
        <f t="shared" si="15"/>
        <v>896.6700000000001</v>
      </c>
      <c r="AD23" s="58">
        <f t="shared" si="16"/>
        <v>3267465.48</v>
      </c>
      <c r="AE23" s="138">
        <f t="shared" si="0"/>
        <v>49.84</v>
      </c>
    </row>
    <row r="24" spans="1:31" ht="26.25" customHeight="1" thickBot="1">
      <c r="A24" s="94" t="s">
        <v>15</v>
      </c>
      <c r="B24" s="110" t="s">
        <v>15</v>
      </c>
      <c r="C24" s="2">
        <v>318</v>
      </c>
      <c r="D24" s="2">
        <v>2120</v>
      </c>
      <c r="E24" s="2">
        <v>1875</v>
      </c>
      <c r="F24" s="2">
        <v>6123</v>
      </c>
      <c r="G24" s="2">
        <v>5474</v>
      </c>
      <c r="H24" s="2">
        <v>5442</v>
      </c>
      <c r="I24" s="2">
        <f t="shared" si="9"/>
        <v>21352</v>
      </c>
      <c r="J24" s="156" t="s">
        <v>7</v>
      </c>
      <c r="K24" s="3">
        <v>1</v>
      </c>
      <c r="L24" s="3"/>
      <c r="M24" s="9">
        <f>IF(K24=1,0.025,0.05)</f>
        <v>0.025</v>
      </c>
      <c r="N24" s="9"/>
      <c r="O24" s="15">
        <f>9675.07</f>
        <v>9675.07</v>
      </c>
      <c r="P24" s="15">
        <f>(O24)*M24</f>
        <v>241.87675000000002</v>
      </c>
      <c r="Q24" s="15"/>
      <c r="R24" s="15"/>
      <c r="S24" s="15"/>
      <c r="T24" s="15">
        <v>6371.04</v>
      </c>
      <c r="U24" s="18">
        <f t="shared" si="10"/>
        <v>16287.98675</v>
      </c>
      <c r="V24" s="81">
        <v>116.25</v>
      </c>
      <c r="W24" s="73">
        <f>ROUND(X34*V24,2)</f>
        <v>17338.69</v>
      </c>
      <c r="X24" s="30">
        <f t="shared" si="11"/>
        <v>1050.7032499999987</v>
      </c>
      <c r="Y24" s="138">
        <f>X24*Q37/100</f>
        <v>547.8072548589993</v>
      </c>
      <c r="Z24" s="16">
        <f t="shared" si="12"/>
        <v>45.65</v>
      </c>
      <c r="AA24" s="18">
        <f t="shared" si="13"/>
        <v>593.46</v>
      </c>
      <c r="AB24" s="16">
        <f t="shared" si="14"/>
        <v>227.77</v>
      </c>
      <c r="AC24" s="56">
        <f t="shared" si="15"/>
        <v>821.23</v>
      </c>
      <c r="AD24" s="58">
        <f t="shared" si="16"/>
        <v>17534902.96</v>
      </c>
      <c r="AE24" s="138">
        <f t="shared" si="0"/>
        <v>45.65</v>
      </c>
    </row>
    <row r="25" spans="1:31" ht="22.5" customHeight="1" thickBot="1">
      <c r="A25" s="103" t="s">
        <v>73</v>
      </c>
      <c r="B25" s="146" t="s">
        <v>31</v>
      </c>
      <c r="C25" s="2">
        <v>195</v>
      </c>
      <c r="D25" s="2">
        <v>0</v>
      </c>
      <c r="E25" s="2">
        <v>9462</v>
      </c>
      <c r="F25" s="2">
        <v>3308</v>
      </c>
      <c r="G25" s="2">
        <v>7157</v>
      </c>
      <c r="H25" s="2">
        <v>2231</v>
      </c>
      <c r="I25" s="2">
        <f t="shared" si="9"/>
        <v>22353</v>
      </c>
      <c r="J25" s="156"/>
      <c r="K25" s="3"/>
      <c r="L25" s="3"/>
      <c r="M25" s="9"/>
      <c r="N25" s="9"/>
      <c r="O25" s="15">
        <f>9675.07</f>
        <v>9675.07</v>
      </c>
      <c r="P25" s="15"/>
      <c r="Q25" s="15"/>
      <c r="R25" s="15">
        <v>191.09</v>
      </c>
      <c r="S25" s="15"/>
      <c r="T25" s="15">
        <v>6371.04</v>
      </c>
      <c r="U25" s="18">
        <f t="shared" si="10"/>
        <v>16237.2</v>
      </c>
      <c r="V25" s="154">
        <v>112.25</v>
      </c>
      <c r="W25" s="14">
        <f>ROUND(X34*V25,2)</f>
        <v>16742.09</v>
      </c>
      <c r="X25" s="30">
        <f t="shared" si="11"/>
        <v>504.8899999999994</v>
      </c>
      <c r="Y25" s="138">
        <f>X25*Q37/100</f>
        <v>263.2355090799997</v>
      </c>
      <c r="Z25" s="16">
        <f t="shared" si="12"/>
        <v>21.94</v>
      </c>
      <c r="AA25" s="18">
        <f t="shared" si="13"/>
        <v>285.18</v>
      </c>
      <c r="AB25" s="16">
        <f t="shared" si="14"/>
        <v>109.45</v>
      </c>
      <c r="AC25" s="56">
        <f t="shared" si="15"/>
        <v>394.63</v>
      </c>
      <c r="AD25" s="58">
        <f t="shared" si="16"/>
        <v>8821164.39</v>
      </c>
      <c r="AE25" s="138">
        <f t="shared" si="0"/>
        <v>21.94</v>
      </c>
    </row>
    <row r="26" spans="1:31" ht="26.25" customHeight="1" thickBot="1">
      <c r="A26" s="104" t="s">
        <v>74</v>
      </c>
      <c r="B26" s="147"/>
      <c r="C26" s="5">
        <v>852</v>
      </c>
      <c r="D26" s="64">
        <v>1444</v>
      </c>
      <c r="E26" s="60">
        <v>4226</v>
      </c>
      <c r="F26" s="60">
        <v>2083</v>
      </c>
      <c r="G26" s="60">
        <v>4385</v>
      </c>
      <c r="H26" s="60">
        <v>6516</v>
      </c>
      <c r="I26" s="64">
        <f t="shared" si="9"/>
        <v>19506</v>
      </c>
      <c r="J26" s="157"/>
      <c r="K26" s="7"/>
      <c r="L26" s="7"/>
      <c r="M26" s="11"/>
      <c r="N26" s="11"/>
      <c r="O26" s="14">
        <f>9675.07</f>
        <v>9675.07</v>
      </c>
      <c r="P26" s="14"/>
      <c r="Q26" s="14"/>
      <c r="R26" s="14"/>
      <c r="S26" s="14"/>
      <c r="T26" s="15">
        <v>6371.04</v>
      </c>
      <c r="U26" s="18">
        <f t="shared" si="10"/>
        <v>16046.11</v>
      </c>
      <c r="V26" s="160"/>
      <c r="W26" s="14">
        <f>ROUND(X34*V25,2)</f>
        <v>16742.09</v>
      </c>
      <c r="X26" s="34">
        <f t="shared" si="11"/>
        <v>695.9799999999996</v>
      </c>
      <c r="Y26" s="138">
        <f>X26*Q37/100</f>
        <v>362.86448455999977</v>
      </c>
      <c r="Z26" s="16">
        <f t="shared" si="12"/>
        <v>30.24</v>
      </c>
      <c r="AA26" s="18">
        <f t="shared" si="13"/>
        <v>393.1</v>
      </c>
      <c r="AB26" s="16">
        <f t="shared" si="14"/>
        <v>150.87</v>
      </c>
      <c r="AC26" s="59">
        <f t="shared" si="15"/>
        <v>543.97</v>
      </c>
      <c r="AD26" s="58">
        <f t="shared" si="16"/>
        <v>10610678.82</v>
      </c>
      <c r="AE26" s="138">
        <f t="shared" si="0"/>
        <v>30.24</v>
      </c>
    </row>
    <row r="27" spans="2:31" ht="25.5" customHeight="1" thickBot="1">
      <c r="B27" s="105" t="s">
        <v>20</v>
      </c>
      <c r="C27" s="33"/>
      <c r="D27" s="33"/>
      <c r="E27" s="27"/>
      <c r="F27" s="27"/>
      <c r="G27" s="33"/>
      <c r="H27" s="33"/>
      <c r="I27" s="27"/>
      <c r="J27" s="8"/>
      <c r="K27" s="8"/>
      <c r="L27" s="8"/>
      <c r="M27" s="8"/>
      <c r="N27" s="8"/>
      <c r="O27" s="20"/>
      <c r="P27" s="20"/>
      <c r="Q27" s="20"/>
      <c r="R27" s="20"/>
      <c r="S27" s="20"/>
      <c r="T27" s="20"/>
      <c r="U27" s="21"/>
      <c r="V27" s="20"/>
      <c r="W27" s="62"/>
      <c r="X27" s="19"/>
      <c r="Y27" s="139"/>
      <c r="Z27" s="20"/>
      <c r="AA27" s="21"/>
      <c r="AB27" s="20"/>
      <c r="AC27" s="20"/>
      <c r="AD27" s="21"/>
      <c r="AE27" s="139"/>
    </row>
    <row r="28" spans="1:31" ht="24.75" customHeight="1" thickBot="1">
      <c r="A28" s="109" t="s">
        <v>75</v>
      </c>
      <c r="B28" s="111" t="s">
        <v>76</v>
      </c>
      <c r="C28" s="63">
        <v>81</v>
      </c>
      <c r="D28" s="63">
        <v>5844</v>
      </c>
      <c r="E28" s="63">
        <v>0</v>
      </c>
      <c r="F28" s="63">
        <v>360</v>
      </c>
      <c r="G28" s="63">
        <v>6504</v>
      </c>
      <c r="H28" s="63">
        <v>4491</v>
      </c>
      <c r="I28" s="31">
        <f>C28+D28+E28+F28+G28+H28</f>
        <v>17280</v>
      </c>
      <c r="J28" s="28" t="s">
        <v>27</v>
      </c>
      <c r="K28" s="6">
        <v>3</v>
      </c>
      <c r="L28" s="6">
        <v>1</v>
      </c>
      <c r="M28" s="4">
        <f>IF(K28=3,0.075,0)</f>
        <v>0.075</v>
      </c>
      <c r="N28" s="10">
        <f>IF(L28=1,0.025,0.05)</f>
        <v>0.025</v>
      </c>
      <c r="O28" s="16">
        <f>8776.59</f>
        <v>8776.59</v>
      </c>
      <c r="P28" s="16">
        <f>(O28)*M28</f>
        <v>658.24425</v>
      </c>
      <c r="Q28" s="16">
        <f>(O28)*N28</f>
        <v>219.41475000000003</v>
      </c>
      <c r="R28" s="16"/>
      <c r="S28" s="16">
        <v>247.9</v>
      </c>
      <c r="T28" s="16">
        <v>6317.88</v>
      </c>
      <c r="U28" s="18">
        <f>SUM(O28:T28)</f>
        <v>16220.028999999999</v>
      </c>
      <c r="V28" s="80">
        <v>113.5</v>
      </c>
      <c r="W28" s="73">
        <f>ROUND(X34*V28,2)</f>
        <v>16928.53</v>
      </c>
      <c r="X28" s="32">
        <f>W28-U28</f>
        <v>708.5010000000002</v>
      </c>
      <c r="Y28" s="138">
        <f>X28*Q37/100</f>
        <v>369.3925833720001</v>
      </c>
      <c r="Z28" s="16">
        <f>ROUND(Y28/12,2)</f>
        <v>30.78</v>
      </c>
      <c r="AA28" s="18">
        <f>ROUND(Y28+Z28,2)</f>
        <v>400.17</v>
      </c>
      <c r="AB28" s="16">
        <f>ROUND(AA28*0.3838,2)</f>
        <v>153.59</v>
      </c>
      <c r="AC28" s="55">
        <f>AA28+AB28</f>
        <v>553.76</v>
      </c>
      <c r="AD28" s="58">
        <f>ROUND(AC28*I28,2)</f>
        <v>9568972.8</v>
      </c>
      <c r="AE28" s="138">
        <f t="shared" si="0"/>
        <v>30.78</v>
      </c>
    </row>
    <row r="29" spans="1:31" ht="24.75" customHeight="1" thickBot="1">
      <c r="A29" s="103" t="s">
        <v>77</v>
      </c>
      <c r="B29" s="150" t="s">
        <v>32</v>
      </c>
      <c r="C29" s="2">
        <v>26</v>
      </c>
      <c r="D29" s="2">
        <v>3653</v>
      </c>
      <c r="E29" s="2">
        <v>0</v>
      </c>
      <c r="F29" s="2">
        <v>6143</v>
      </c>
      <c r="G29" s="2">
        <v>21</v>
      </c>
      <c r="H29" s="2">
        <v>8698</v>
      </c>
      <c r="I29" s="2">
        <f>C29+D29+E29+F29+G29+H29</f>
        <v>18541</v>
      </c>
      <c r="J29" s="156" t="s">
        <v>27</v>
      </c>
      <c r="K29" s="3">
        <v>3</v>
      </c>
      <c r="L29" s="3"/>
      <c r="M29" s="1">
        <f>IF(K29=3,0.075,0)</f>
        <v>0.075</v>
      </c>
      <c r="N29" s="9"/>
      <c r="O29" s="15">
        <f>8776.59</f>
        <v>8776.59</v>
      </c>
      <c r="P29" s="15">
        <f>(O29)*M29</f>
        <v>658.24425</v>
      </c>
      <c r="Q29" s="15"/>
      <c r="R29" s="15"/>
      <c r="S29" s="15">
        <v>247.9</v>
      </c>
      <c r="T29" s="16">
        <v>6317.88</v>
      </c>
      <c r="U29" s="18">
        <f>SUM(O29:T29)</f>
        <v>16000.614249999999</v>
      </c>
      <c r="V29" s="154">
        <v>111.5</v>
      </c>
      <c r="W29" s="14">
        <f>ROUND(X34*V29,2)</f>
        <v>16630.23</v>
      </c>
      <c r="X29" s="30">
        <f>W29-U29</f>
        <v>629.6157500000008</v>
      </c>
      <c r="Y29" s="138">
        <f>X29*Q37/100</f>
        <v>328.26402280900044</v>
      </c>
      <c r="Z29" s="16">
        <f>ROUND(Y29/12,2)</f>
        <v>27.36</v>
      </c>
      <c r="AA29" s="18">
        <f>ROUND(Y29+Z29,2)</f>
        <v>355.62</v>
      </c>
      <c r="AB29" s="16">
        <f>ROUND(AA29*0.3838,2)</f>
        <v>136.49</v>
      </c>
      <c r="AC29" s="56">
        <f>AA29+AB29</f>
        <v>492.11</v>
      </c>
      <c r="AD29" s="58">
        <f>ROUND(AC29*I29,2)</f>
        <v>9124211.51</v>
      </c>
      <c r="AE29" s="138">
        <f t="shared" si="0"/>
        <v>27.36</v>
      </c>
    </row>
    <row r="30" spans="1:31" ht="18.75" customHeight="1" thickBot="1">
      <c r="A30" s="104" t="s">
        <v>78</v>
      </c>
      <c r="B30" s="151"/>
      <c r="C30" s="2">
        <v>262</v>
      </c>
      <c r="D30" s="2">
        <v>2322</v>
      </c>
      <c r="E30" s="2">
        <v>0</v>
      </c>
      <c r="F30" s="2">
        <v>937</v>
      </c>
      <c r="G30" s="2">
        <v>14845</v>
      </c>
      <c r="H30" s="2">
        <v>2247</v>
      </c>
      <c r="I30" s="2">
        <f>C30+D30+E30+F30+G30+H30</f>
        <v>20613</v>
      </c>
      <c r="J30" s="156"/>
      <c r="K30" s="3">
        <v>3</v>
      </c>
      <c r="L30" s="3"/>
      <c r="M30" s="1">
        <f>IF(K30=3,0.075,0)</f>
        <v>0.075</v>
      </c>
      <c r="N30" s="9"/>
      <c r="O30" s="15">
        <f>8776.59</f>
        <v>8776.59</v>
      </c>
      <c r="P30" s="15">
        <f>(O30)*M30</f>
        <v>658.24425</v>
      </c>
      <c r="Q30" s="15"/>
      <c r="R30" s="15"/>
      <c r="S30" s="15"/>
      <c r="T30" s="16">
        <v>6317.88</v>
      </c>
      <c r="U30" s="18">
        <f>SUM(O30:T30)</f>
        <v>15752.71425</v>
      </c>
      <c r="V30" s="155"/>
      <c r="W30" s="14">
        <f>ROUND(X34*V29,2)</f>
        <v>16630.23</v>
      </c>
      <c r="X30" s="30">
        <f>W30-U30</f>
        <v>877.5157499999987</v>
      </c>
      <c r="Y30" s="138">
        <f>X30*Q37/100</f>
        <v>457.5121416089993</v>
      </c>
      <c r="Z30" s="16">
        <f>ROUND(Y30/12,2)</f>
        <v>38.13</v>
      </c>
      <c r="AA30" s="18">
        <f>ROUND(Y30+Z30,2)</f>
        <v>495.64</v>
      </c>
      <c r="AB30" s="16">
        <f>ROUND(AA30*0.3838,2)</f>
        <v>190.23</v>
      </c>
      <c r="AC30" s="56">
        <f>AA30+AB30</f>
        <v>685.87</v>
      </c>
      <c r="AD30" s="58">
        <f>ROUND(AC30*I30,2)</f>
        <v>14137838.31</v>
      </c>
      <c r="AE30" s="138">
        <f t="shared" si="0"/>
        <v>38.13</v>
      </c>
    </row>
    <row r="31" spans="1:31" ht="18.75" customHeight="1" thickBot="1">
      <c r="A31" s="112" t="s">
        <v>33</v>
      </c>
      <c r="B31" s="113" t="s">
        <v>33</v>
      </c>
      <c r="C31" s="2">
        <v>979</v>
      </c>
      <c r="D31" s="2">
        <v>11668</v>
      </c>
      <c r="E31" s="2">
        <v>4625</v>
      </c>
      <c r="F31" s="2">
        <v>6558</v>
      </c>
      <c r="G31" s="2">
        <v>10130</v>
      </c>
      <c r="H31" s="2">
        <v>22683</v>
      </c>
      <c r="I31" s="2">
        <f>C31+D31+E31+F31+G31+H31</f>
        <v>56643</v>
      </c>
      <c r="J31" s="13" t="s">
        <v>27</v>
      </c>
      <c r="K31" s="3">
        <v>2</v>
      </c>
      <c r="L31" s="3"/>
      <c r="M31" s="9">
        <f>IF(K31=1,0.025,0.05)</f>
        <v>0.05</v>
      </c>
      <c r="N31" s="9"/>
      <c r="O31" s="15">
        <f>8776.59</f>
        <v>8776.59</v>
      </c>
      <c r="P31" s="15">
        <f>(O31)*M31</f>
        <v>438.82950000000005</v>
      </c>
      <c r="Q31" s="15"/>
      <c r="R31" s="15"/>
      <c r="S31" s="15"/>
      <c r="T31" s="16">
        <v>6317.88</v>
      </c>
      <c r="U31" s="18">
        <f>SUM(O31:T31)</f>
        <v>15533.299500000001</v>
      </c>
      <c r="V31" s="81">
        <v>108</v>
      </c>
      <c r="W31" s="14">
        <f>ROUND(X34*V31,2)</f>
        <v>16108.2</v>
      </c>
      <c r="X31" s="30">
        <f>W31-U31</f>
        <v>574.9004999999997</v>
      </c>
      <c r="Y31" s="138">
        <f>X31*Q37/100</f>
        <v>299.7370234859998</v>
      </c>
      <c r="Z31" s="16">
        <f>ROUND(Y31/12,2)</f>
        <v>24.98</v>
      </c>
      <c r="AA31" s="18">
        <f>ROUND(Y31+Z31,2)</f>
        <v>324.72</v>
      </c>
      <c r="AB31" s="16">
        <f>ROUND(AA31*0.3838,2)</f>
        <v>124.63</v>
      </c>
      <c r="AC31" s="56">
        <f>AA31+AB31</f>
        <v>449.35</v>
      </c>
      <c r="AD31" s="58">
        <f>ROUND(AC31*I31,2)</f>
        <v>25452532.05</v>
      </c>
      <c r="AE31" s="138">
        <f t="shared" si="0"/>
        <v>24.98</v>
      </c>
    </row>
    <row r="32" spans="1:31" ht="18.75" customHeight="1" thickBot="1">
      <c r="A32" s="112" t="s">
        <v>21</v>
      </c>
      <c r="B32" s="113" t="s">
        <v>21</v>
      </c>
      <c r="C32" s="2">
        <v>1432</v>
      </c>
      <c r="D32" s="2">
        <v>9700</v>
      </c>
      <c r="E32" s="2">
        <v>25303</v>
      </c>
      <c r="F32" s="2">
        <v>7122</v>
      </c>
      <c r="G32" s="2">
        <v>9095</v>
      </c>
      <c r="H32" s="2">
        <v>16573</v>
      </c>
      <c r="I32" s="2">
        <f>C32+D32+E32+F32+G32+H32</f>
        <v>69225</v>
      </c>
      <c r="J32" s="13" t="s">
        <v>27</v>
      </c>
      <c r="K32" s="3">
        <v>1</v>
      </c>
      <c r="L32" s="3"/>
      <c r="M32" s="9">
        <f>IF(K32=1,0.025,0.05)</f>
        <v>0.025</v>
      </c>
      <c r="N32" s="1"/>
      <c r="O32" s="15">
        <f>8776.59</f>
        <v>8776.59</v>
      </c>
      <c r="P32" s="15">
        <f>(O32)*M32</f>
        <v>219.41475000000003</v>
      </c>
      <c r="Q32" s="15"/>
      <c r="R32" s="15"/>
      <c r="S32" s="15"/>
      <c r="T32" s="16">
        <v>6317.88</v>
      </c>
      <c r="U32" s="18">
        <f>SUM(O32:T32)</f>
        <v>15313.884750000001</v>
      </c>
      <c r="V32" s="81">
        <v>104.5</v>
      </c>
      <c r="W32" s="14">
        <f>ROUND(X34*V32,2)</f>
        <v>15586.18</v>
      </c>
      <c r="X32" s="30">
        <f>W32-U32</f>
        <v>272.2952499999992</v>
      </c>
      <c r="Y32" s="138">
        <f>X32*Q37/100</f>
        <v>141.9671190829996</v>
      </c>
      <c r="Z32" s="16">
        <f>ROUND(Y32/12,2)</f>
        <v>11.83</v>
      </c>
      <c r="AA32" s="18">
        <f>ROUND(Y32+Z32,2)</f>
        <v>153.8</v>
      </c>
      <c r="AB32" s="16">
        <f>ROUND(AA32*0.3838,2)</f>
        <v>59.03</v>
      </c>
      <c r="AC32" s="56">
        <f>AA32+AB32</f>
        <v>212.83</v>
      </c>
      <c r="AD32" s="58">
        <f>ROUND(AC32*I32,2)</f>
        <v>14733156.75</v>
      </c>
      <c r="AE32" s="138">
        <f t="shared" si="0"/>
        <v>11.83</v>
      </c>
    </row>
    <row r="33" spans="1:31" ht="26.25" customHeight="1">
      <c r="A33" t="s">
        <v>166</v>
      </c>
      <c r="I33" s="12"/>
      <c r="V33" s="86"/>
      <c r="W33" s="22"/>
      <c r="X33" s="19"/>
      <c r="Y33" s="139"/>
      <c r="Z33" s="22"/>
      <c r="AA33" s="22"/>
      <c r="AB33" s="22"/>
      <c r="AC33" s="20"/>
      <c r="AD33" s="61"/>
      <c r="AE33" s="139"/>
    </row>
    <row r="34" spans="1:31" ht="26.25" customHeight="1">
      <c r="A34" t="s">
        <v>167</v>
      </c>
      <c r="I34" s="12"/>
      <c r="O34" s="158"/>
      <c r="P34" s="158"/>
      <c r="Q34" s="159"/>
      <c r="R34" s="65"/>
      <c r="S34" s="23" t="e">
        <f>#REF!</f>
        <v>#REF!</v>
      </c>
      <c r="V34" s="22"/>
      <c r="W34" s="12" t="s">
        <v>57</v>
      </c>
      <c r="X34" s="145">
        <v>149.15</v>
      </c>
      <c r="Y34" s="140"/>
      <c r="Z34" s="19"/>
      <c r="AA34" s="22"/>
      <c r="AB34" s="22"/>
      <c r="AC34" s="22"/>
      <c r="AD34" s="20"/>
      <c r="AE34" s="140"/>
    </row>
    <row r="35" spans="2:31" ht="18.75" customHeight="1">
      <c r="B35" s="92"/>
      <c r="Y35" s="92"/>
      <c r="Z35" s="8"/>
      <c r="AE35" s="92"/>
    </row>
    <row r="36" spans="2:31" ht="18.75" customHeight="1">
      <c r="B36" s="93"/>
      <c r="C36" s="23"/>
      <c r="O36" s="152" t="s">
        <v>41</v>
      </c>
      <c r="P36" s="153"/>
      <c r="Q36" t="s">
        <v>47</v>
      </c>
      <c r="R36" s="23">
        <v>288000000</v>
      </c>
      <c r="S36" t="s">
        <v>48</v>
      </c>
      <c r="U36" s="23">
        <v>638000000</v>
      </c>
      <c r="Z36" s="8"/>
      <c r="AE36" s="92"/>
    </row>
    <row r="37" spans="2:31" ht="27" customHeight="1">
      <c r="B37" s="93"/>
      <c r="C37" s="23"/>
      <c r="O37" s="67" t="s">
        <v>49</v>
      </c>
      <c r="Q37" s="68">
        <v>52.1372</v>
      </c>
      <c r="R37" s="67" t="s">
        <v>42</v>
      </c>
      <c r="S37" s="69" t="s">
        <v>43</v>
      </c>
      <c r="Z37" s="8"/>
      <c r="AE37" s="92"/>
    </row>
    <row r="38" ht="18.75" customHeight="1">
      <c r="B38" s="93"/>
    </row>
    <row r="39" ht="18.75" customHeight="1">
      <c r="B39" s="93"/>
    </row>
    <row r="40" ht="18.75" customHeight="1">
      <c r="B40" s="93"/>
    </row>
    <row r="41" ht="18.75" customHeight="1">
      <c r="B41" s="93"/>
    </row>
    <row r="42" ht="18.75" customHeight="1">
      <c r="B42" s="93"/>
    </row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</sheetData>
  <mergeCells count="45">
    <mergeCell ref="AE1:AE2"/>
    <mergeCell ref="Q1:Q2"/>
    <mergeCell ref="R1:R2"/>
    <mergeCell ref="S1:S2"/>
    <mergeCell ref="U1:U2"/>
    <mergeCell ref="T1:T2"/>
    <mergeCell ref="AD1:AD2"/>
    <mergeCell ref="AA1:AA2"/>
    <mergeCell ref="AB1:AB2"/>
    <mergeCell ref="AC1:AC2"/>
    <mergeCell ref="V1:V2"/>
    <mergeCell ref="W1:W2"/>
    <mergeCell ref="X1:X2"/>
    <mergeCell ref="Z1:Z2"/>
    <mergeCell ref="Y1:Y2"/>
    <mergeCell ref="M1:M2"/>
    <mergeCell ref="N1:N2"/>
    <mergeCell ref="O1:O2"/>
    <mergeCell ref="P1:P2"/>
    <mergeCell ref="C1:I1"/>
    <mergeCell ref="J1:J2"/>
    <mergeCell ref="K1:K2"/>
    <mergeCell ref="L1:L2"/>
    <mergeCell ref="J17:J18"/>
    <mergeCell ref="V17:V18"/>
    <mergeCell ref="V20:V22"/>
    <mergeCell ref="J9:J13"/>
    <mergeCell ref="V10:V12"/>
    <mergeCell ref="J15:J16"/>
    <mergeCell ref="V15:V16"/>
    <mergeCell ref="B25:B26"/>
    <mergeCell ref="B29:B30"/>
    <mergeCell ref="V25:V26"/>
    <mergeCell ref="J20:J22"/>
    <mergeCell ref="O36:P36"/>
    <mergeCell ref="V29:V30"/>
    <mergeCell ref="J24:J26"/>
    <mergeCell ref="J29:J30"/>
    <mergeCell ref="O34:Q34"/>
    <mergeCell ref="B17:B18"/>
    <mergeCell ref="B20:B22"/>
    <mergeCell ref="A1:A2"/>
    <mergeCell ref="B10:B12"/>
    <mergeCell ref="B15:B16"/>
    <mergeCell ref="B1:B2"/>
  </mergeCells>
  <printOptions horizontalCentered="1" verticalCentered="1"/>
  <pageMargins left="0.25" right="0.25" top="2.52" bottom="0.5118110236220472" header="0.25" footer="0.5118110236220472"/>
  <pageSetup fitToHeight="1" fitToWidth="1" horizontalDpi="600" verticalDpi="600" orientation="portrait" paperSize="8" scale="62" r:id="rId1"/>
  <headerFooter alignWithMargins="0">
    <oddHeader>&amp;L&amp;9
&amp;C&amp;28&amp;UTABELLA B1
ANTICIPAZIONI ANNO 2004
PERSONALE DELLE  FORZE DI POLIZIA AD ORDINAMENTO CIVILE
&amp;18(Art. 5 comma 2)&amp;"Arial,Grassetto"&amp;22
&amp;"Arial,Normale"&amp;14&amp;U
&amp;R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9">
    <pageSetUpPr fitToPage="1"/>
  </sheetPr>
  <dimension ref="A1:AE42"/>
  <sheetViews>
    <sheetView workbookViewId="0" topLeftCell="B1">
      <selection activeCell="AH4" sqref="AH4"/>
    </sheetView>
  </sheetViews>
  <sheetFormatPr defaultColWidth="9.140625" defaultRowHeight="12.75"/>
  <cols>
    <col min="1" max="1" width="72.28125" style="0" customWidth="1"/>
    <col min="2" max="2" width="60.28125" style="0" customWidth="1"/>
    <col min="3" max="3" width="14.28125" style="0" hidden="1" customWidth="1"/>
    <col min="4" max="4" width="9.8515625" style="0" hidden="1" customWidth="1"/>
    <col min="5" max="5" width="10.8515625" style="0" hidden="1" customWidth="1"/>
    <col min="6" max="6" width="11.7109375" style="0" hidden="1" customWidth="1"/>
    <col min="7" max="7" width="10.28125" style="0" hidden="1" customWidth="1"/>
    <col min="8" max="8" width="12.57421875" style="0" hidden="1" customWidth="1"/>
    <col min="9" max="9" width="16.57421875" style="0" hidden="1" customWidth="1"/>
    <col min="10" max="10" width="6.57421875" style="0" hidden="1" customWidth="1"/>
    <col min="11" max="11" width="4.8515625" style="0" hidden="1" customWidth="1"/>
    <col min="12" max="12" width="5.00390625" style="0" hidden="1" customWidth="1"/>
    <col min="13" max="13" width="5.8515625" style="0" hidden="1" customWidth="1"/>
    <col min="14" max="14" width="6.28125" style="0" hidden="1" customWidth="1"/>
    <col min="15" max="15" width="11.57421875" style="0" hidden="1" customWidth="1"/>
    <col min="16" max="16" width="11.421875" style="0" hidden="1" customWidth="1"/>
    <col min="17" max="17" width="10.140625" style="0" hidden="1" customWidth="1"/>
    <col min="18" max="18" width="14.00390625" style="0" hidden="1" customWidth="1"/>
    <col min="19" max="19" width="15.8515625" style="0" hidden="1" customWidth="1"/>
    <col min="20" max="20" width="12.28125" style="0" hidden="1" customWidth="1"/>
    <col min="21" max="21" width="14.57421875" style="0" hidden="1" customWidth="1"/>
    <col min="22" max="22" width="15.8515625" style="23" hidden="1" customWidth="1"/>
    <col min="23" max="23" width="14.57421875" style="0" hidden="1" customWidth="1"/>
    <col min="24" max="24" width="13.7109375" style="8" hidden="1" customWidth="1"/>
    <col min="25" max="25" width="22.00390625" style="141" hidden="1" customWidth="1"/>
    <col min="26" max="26" width="15.00390625" style="0" hidden="1" customWidth="1"/>
    <col min="27" max="27" width="22.140625" style="0" customWidth="1"/>
    <col min="28" max="28" width="15.57421875" style="0" hidden="1" customWidth="1"/>
    <col min="29" max="29" width="15.421875" style="0" hidden="1" customWidth="1"/>
    <col min="30" max="30" width="22.00390625" style="0" hidden="1" customWidth="1"/>
    <col min="31" max="31" width="21.57421875" style="141" hidden="1" customWidth="1"/>
  </cols>
  <sheetData>
    <row r="1" spans="1:31" ht="51" customHeight="1">
      <c r="A1" s="186" t="s">
        <v>79</v>
      </c>
      <c r="B1" s="188" t="s">
        <v>80</v>
      </c>
      <c r="C1" s="201"/>
      <c r="D1" s="202"/>
      <c r="E1" s="202"/>
      <c r="F1" s="202"/>
      <c r="G1" s="202"/>
      <c r="H1" s="202"/>
      <c r="I1" s="203"/>
      <c r="J1" s="174" t="s">
        <v>0</v>
      </c>
      <c r="K1" s="174" t="s">
        <v>1</v>
      </c>
      <c r="L1" s="174" t="s">
        <v>2</v>
      </c>
      <c r="M1" s="175"/>
      <c r="N1" s="161"/>
      <c r="O1" s="167" t="s">
        <v>3</v>
      </c>
      <c r="P1" s="167" t="s">
        <v>4</v>
      </c>
      <c r="Q1" s="167" t="s">
        <v>5</v>
      </c>
      <c r="R1" s="167" t="s">
        <v>18</v>
      </c>
      <c r="S1" s="169" t="s">
        <v>19</v>
      </c>
      <c r="T1" s="170" t="s">
        <v>53</v>
      </c>
      <c r="U1" s="167" t="s">
        <v>22</v>
      </c>
      <c r="V1" s="177" t="s">
        <v>37</v>
      </c>
      <c r="W1" s="167" t="s">
        <v>51</v>
      </c>
      <c r="X1" s="167" t="s">
        <v>52</v>
      </c>
      <c r="Y1" s="148" t="s">
        <v>172</v>
      </c>
      <c r="Z1" s="167" t="s">
        <v>23</v>
      </c>
      <c r="AA1" s="148" t="s">
        <v>171</v>
      </c>
      <c r="AB1" s="167" t="s">
        <v>24</v>
      </c>
      <c r="AC1" s="167" t="s">
        <v>25</v>
      </c>
      <c r="AD1" s="167" t="s">
        <v>50</v>
      </c>
      <c r="AE1" s="148" t="s">
        <v>145</v>
      </c>
    </row>
    <row r="2" spans="1:31" ht="102" customHeight="1" thickBot="1">
      <c r="A2" s="187"/>
      <c r="B2" s="189"/>
      <c r="C2" s="43" t="s">
        <v>34</v>
      </c>
      <c r="D2" s="43" t="s">
        <v>35</v>
      </c>
      <c r="E2" s="43" t="s">
        <v>36</v>
      </c>
      <c r="F2" s="43" t="s">
        <v>54</v>
      </c>
      <c r="G2" s="43" t="s">
        <v>38</v>
      </c>
      <c r="H2" s="43" t="s">
        <v>39</v>
      </c>
      <c r="I2" s="39" t="s">
        <v>56</v>
      </c>
      <c r="J2" s="157"/>
      <c r="K2" s="157"/>
      <c r="L2" s="157"/>
      <c r="M2" s="176"/>
      <c r="N2" s="157"/>
      <c r="O2" s="168"/>
      <c r="P2" s="168"/>
      <c r="Q2" s="168"/>
      <c r="R2" s="168"/>
      <c r="S2" s="168"/>
      <c r="T2" s="171"/>
      <c r="U2" s="168"/>
      <c r="V2" s="178"/>
      <c r="W2" s="168"/>
      <c r="X2" s="168"/>
      <c r="Y2" s="149"/>
      <c r="Z2" s="168"/>
      <c r="AA2" s="149"/>
      <c r="AB2" s="168"/>
      <c r="AC2" s="168"/>
      <c r="AD2" s="168"/>
      <c r="AE2" s="149"/>
    </row>
    <row r="3" spans="2:31" ht="34.5" customHeight="1" thickBot="1">
      <c r="B3" s="38" t="s">
        <v>111</v>
      </c>
      <c r="C3" s="40"/>
      <c r="D3" s="40"/>
      <c r="E3" s="40"/>
      <c r="F3" s="40"/>
      <c r="G3" s="40"/>
      <c r="H3" s="40"/>
      <c r="I3" s="38"/>
      <c r="J3" s="41"/>
      <c r="K3" s="41"/>
      <c r="L3" s="41"/>
      <c r="M3" s="41"/>
      <c r="N3" s="41"/>
      <c r="O3" s="42"/>
      <c r="P3" s="42"/>
      <c r="Q3" s="42"/>
      <c r="R3" s="42"/>
      <c r="S3" s="42"/>
      <c r="T3" s="42"/>
      <c r="U3" s="42"/>
      <c r="V3" s="85"/>
      <c r="W3" s="76"/>
      <c r="X3" s="25"/>
      <c r="Z3" s="8"/>
      <c r="AA3" s="8"/>
      <c r="AB3" s="8"/>
      <c r="AC3" s="8"/>
      <c r="AD3" s="8"/>
      <c r="AE3" s="135"/>
    </row>
    <row r="4" spans="1:31" ht="30.75" customHeight="1" thickBot="1">
      <c r="A4" s="114" t="s">
        <v>144</v>
      </c>
      <c r="B4" s="114" t="s">
        <v>143</v>
      </c>
      <c r="C4" s="63">
        <v>146</v>
      </c>
      <c r="D4" s="63">
        <v>3</v>
      </c>
      <c r="E4" s="63">
        <v>0</v>
      </c>
      <c r="F4" s="63">
        <v>70</v>
      </c>
      <c r="G4" s="63">
        <v>14</v>
      </c>
      <c r="H4" s="63">
        <v>898</v>
      </c>
      <c r="I4" s="79">
        <f>C4+D4+E4+F4+G4+H4</f>
        <v>1131</v>
      </c>
      <c r="J4" s="28" t="s">
        <v>16</v>
      </c>
      <c r="K4" s="6"/>
      <c r="L4" s="6"/>
      <c r="M4" s="10"/>
      <c r="N4" s="10"/>
      <c r="O4" s="16">
        <f>14437.35</f>
        <v>14437.35</v>
      </c>
      <c r="P4" s="16"/>
      <c r="Q4" s="16"/>
      <c r="R4" s="16"/>
      <c r="S4" s="16"/>
      <c r="T4" s="16">
        <v>6641.4</v>
      </c>
      <c r="U4" s="18">
        <f>SUM(O4:T4)</f>
        <v>21078.75</v>
      </c>
      <c r="V4" s="80">
        <v>151</v>
      </c>
      <c r="W4" s="73">
        <f>ROUND(X34*V4,2)</f>
        <v>22518.74</v>
      </c>
      <c r="X4" s="32">
        <f>W4-U4</f>
        <v>1439.9900000000016</v>
      </c>
      <c r="Y4" s="138">
        <f>X4*Q37/100</f>
        <v>747.9452059000009</v>
      </c>
      <c r="Z4" s="16">
        <f>ROUND(Y4/12,2)</f>
        <v>62.33</v>
      </c>
      <c r="AA4" s="18">
        <f>+' 2004 FP OC'!AA4</f>
        <v>730.74</v>
      </c>
      <c r="AB4" s="16">
        <f>ROUND(AA4*0.3838,2)</f>
        <v>280.46</v>
      </c>
      <c r="AC4" s="55">
        <f>AA4+AB4</f>
        <v>1011.2</v>
      </c>
      <c r="AD4" s="58">
        <f>ROUND(AC4*I4,2)</f>
        <v>1143667.2</v>
      </c>
      <c r="AE4" s="138">
        <f>ROUND(Y4/12,2)</f>
        <v>62.33</v>
      </c>
    </row>
    <row r="5" spans="1:31" ht="17.25" customHeight="1" thickBot="1">
      <c r="A5" s="94" t="s">
        <v>81</v>
      </c>
      <c r="B5" s="94" t="s">
        <v>81</v>
      </c>
      <c r="C5" s="2">
        <v>10</v>
      </c>
      <c r="D5" s="2">
        <v>1</v>
      </c>
      <c r="E5" s="2">
        <v>5981</v>
      </c>
      <c r="F5" s="2">
        <v>806</v>
      </c>
      <c r="G5" s="2">
        <v>492</v>
      </c>
      <c r="H5" s="2">
        <v>822</v>
      </c>
      <c r="I5" s="35">
        <f>C5+D5+E5+F5+G5+H5</f>
        <v>8112</v>
      </c>
      <c r="J5" s="13" t="s">
        <v>17</v>
      </c>
      <c r="K5" s="3">
        <v>1</v>
      </c>
      <c r="L5" s="3"/>
      <c r="M5" s="9">
        <f>IF(K5=1,0.025,0.05)</f>
        <v>0.025</v>
      </c>
      <c r="N5" s="9"/>
      <c r="O5" s="15">
        <f>12643.32</f>
        <v>12643.32</v>
      </c>
      <c r="P5" s="15">
        <f>(O5)*M5</f>
        <v>316.083</v>
      </c>
      <c r="Q5" s="15"/>
      <c r="R5" s="15"/>
      <c r="S5" s="15"/>
      <c r="T5" s="15">
        <v>6545.28</v>
      </c>
      <c r="U5" s="18">
        <f>SUM(O5:T5)</f>
        <v>19504.683</v>
      </c>
      <c r="V5" s="81">
        <v>145</v>
      </c>
      <c r="W5" s="14">
        <f>ROUND(X34*V5,2)</f>
        <v>21623.95</v>
      </c>
      <c r="X5" s="30">
        <f>W5-U5</f>
        <v>2119.267</v>
      </c>
      <c r="Y5" s="138">
        <f>X5*Q37/100</f>
        <v>1100.76847247</v>
      </c>
      <c r="Z5" s="16">
        <f>ROUND(Y5/12,2)</f>
        <v>91.73</v>
      </c>
      <c r="AA5" s="18">
        <f>+' 2004 FP OC'!AA5</f>
        <v>1156.47</v>
      </c>
      <c r="AB5" s="16">
        <f>ROUND(AA5*0.3838,2)</f>
        <v>443.85</v>
      </c>
      <c r="AC5" s="56">
        <f>AA5+AB5</f>
        <v>1600.3200000000002</v>
      </c>
      <c r="AD5" s="58">
        <f>ROUND(AC5*I5,2)</f>
        <v>12981795.84</v>
      </c>
      <c r="AE5" s="138">
        <f aca="true" t="shared" si="0" ref="AE5:AE32">ROUND(Y5/12,2)</f>
        <v>91.73</v>
      </c>
    </row>
    <row r="6" spans="1:31" ht="17.25" customHeight="1" thickBot="1">
      <c r="A6" s="94" t="s">
        <v>82</v>
      </c>
      <c r="B6" s="94" t="s">
        <v>82</v>
      </c>
      <c r="C6" s="2">
        <v>125</v>
      </c>
      <c r="D6" s="2">
        <v>5</v>
      </c>
      <c r="E6" s="2">
        <v>3747</v>
      </c>
      <c r="F6" s="2">
        <v>311</v>
      </c>
      <c r="G6" s="2">
        <v>858</v>
      </c>
      <c r="H6" s="2">
        <v>87</v>
      </c>
      <c r="I6" s="35">
        <f>C6+D6+E6+F6+G6+H6</f>
        <v>5133</v>
      </c>
      <c r="J6" s="13" t="s">
        <v>17</v>
      </c>
      <c r="K6" s="3"/>
      <c r="L6" s="3"/>
      <c r="M6" s="9"/>
      <c r="N6" s="9"/>
      <c r="O6" s="15">
        <f>12643.32</f>
        <v>12643.32</v>
      </c>
      <c r="P6" s="15"/>
      <c r="Q6" s="15"/>
      <c r="R6" s="15"/>
      <c r="S6" s="15"/>
      <c r="T6" s="15">
        <v>6545.28</v>
      </c>
      <c r="U6" s="18">
        <f>SUM(O6:T6)</f>
        <v>19188.6</v>
      </c>
      <c r="V6" s="81">
        <v>139</v>
      </c>
      <c r="W6" s="14">
        <f>ROUND(X34*V6,2)</f>
        <v>20729.17</v>
      </c>
      <c r="X6" s="30">
        <f>W6-U6</f>
        <v>1540.5699999999997</v>
      </c>
      <c r="Y6" s="138">
        <f>X6*Q37/100</f>
        <v>800.1874637</v>
      </c>
      <c r="Z6" s="16">
        <f>ROUND(Y6/12,2)</f>
        <v>66.68</v>
      </c>
      <c r="AA6" s="18">
        <f>+' 2004 FP OC'!AA6</f>
        <v>871.66</v>
      </c>
      <c r="AB6" s="16">
        <f>ROUND(AA6*0.3838,2)</f>
        <v>334.54</v>
      </c>
      <c r="AC6" s="56">
        <f>AA6+AB6</f>
        <v>1206.2</v>
      </c>
      <c r="AD6" s="58">
        <f>ROUND(AC6*I6,2)</f>
        <v>6191424.6</v>
      </c>
      <c r="AE6" s="138">
        <f t="shared" si="0"/>
        <v>66.68</v>
      </c>
    </row>
    <row r="7" spans="1:31" ht="17.25" customHeight="1" thickBot="1">
      <c r="A7" s="94" t="s">
        <v>83</v>
      </c>
      <c r="B7" s="94" t="s">
        <v>83</v>
      </c>
      <c r="C7" s="5">
        <v>0</v>
      </c>
      <c r="D7" s="5">
        <v>109</v>
      </c>
      <c r="E7" s="5">
        <v>1630</v>
      </c>
      <c r="F7" s="5">
        <v>110</v>
      </c>
      <c r="G7" s="5">
        <v>297</v>
      </c>
      <c r="H7" s="5">
        <v>0</v>
      </c>
      <c r="I7" s="37">
        <f>C7+D7+E7+F7+G7+H7</f>
        <v>2146</v>
      </c>
      <c r="J7" s="45" t="s">
        <v>8</v>
      </c>
      <c r="K7" s="46"/>
      <c r="L7" s="46"/>
      <c r="M7" s="47"/>
      <c r="N7" s="47"/>
      <c r="O7" s="48">
        <f>11861.89</f>
        <v>11861.89</v>
      </c>
      <c r="P7" s="48"/>
      <c r="Q7" s="48"/>
      <c r="R7" s="48"/>
      <c r="S7" s="48"/>
      <c r="T7" s="14">
        <v>6495.48</v>
      </c>
      <c r="U7" s="71">
        <f>SUM(O7:T7)</f>
        <v>18357.37</v>
      </c>
      <c r="V7" s="82">
        <v>133.25</v>
      </c>
      <c r="W7" s="14">
        <f>ROUND(X34*V7,2)</f>
        <v>19871.67</v>
      </c>
      <c r="X7" s="34">
        <f>W7-U7</f>
        <v>1514.2999999999993</v>
      </c>
      <c r="Y7" s="138">
        <f>X7*Q37/100</f>
        <v>786.5425629999996</v>
      </c>
      <c r="Z7" s="16">
        <f>ROUND(Y7/12,2)</f>
        <v>65.55</v>
      </c>
      <c r="AA7" s="18">
        <f>+' 2004 FP OC'!AA7</f>
        <v>856.75</v>
      </c>
      <c r="AB7" s="16">
        <f>ROUND(AA7*0.3838,2)</f>
        <v>328.82</v>
      </c>
      <c r="AC7" s="57">
        <f>AA7+AB7</f>
        <v>1185.57</v>
      </c>
      <c r="AD7" s="58">
        <f>ROUND(AC7*I7,2)</f>
        <v>2544233.22</v>
      </c>
      <c r="AE7" s="138">
        <f t="shared" si="0"/>
        <v>65.55</v>
      </c>
    </row>
    <row r="8" spans="2:31" ht="25.5" customHeight="1" thickBot="1">
      <c r="B8" s="29" t="s">
        <v>13</v>
      </c>
      <c r="C8" s="26"/>
      <c r="D8" s="26"/>
      <c r="E8" s="27"/>
      <c r="F8" s="27"/>
      <c r="G8" s="26"/>
      <c r="H8" s="26"/>
      <c r="I8" s="27"/>
      <c r="J8" s="24"/>
      <c r="K8" s="52"/>
      <c r="L8" s="52"/>
      <c r="M8" s="53"/>
      <c r="N8" s="53"/>
      <c r="O8" s="54"/>
      <c r="P8" s="54"/>
      <c r="Q8" s="54"/>
      <c r="R8" s="54"/>
      <c r="S8" s="54"/>
      <c r="T8" s="62"/>
      <c r="U8" s="72"/>
      <c r="V8" s="62"/>
      <c r="W8" s="62"/>
      <c r="X8" s="75"/>
      <c r="Y8" s="139"/>
      <c r="Z8" s="20"/>
      <c r="AA8" s="18"/>
      <c r="AB8" s="20"/>
      <c r="AC8" s="20"/>
      <c r="AD8" s="21"/>
      <c r="AE8" s="139"/>
    </row>
    <row r="9" spans="1:31" ht="34.5" customHeight="1" thickBot="1">
      <c r="A9" s="114" t="s">
        <v>153</v>
      </c>
      <c r="B9" s="115" t="s">
        <v>153</v>
      </c>
      <c r="C9" s="63">
        <v>140</v>
      </c>
      <c r="D9" s="63">
        <v>170</v>
      </c>
      <c r="E9" s="63">
        <v>3360</v>
      </c>
      <c r="F9" s="63">
        <v>2392</v>
      </c>
      <c r="G9" s="63">
        <v>3105</v>
      </c>
      <c r="H9" s="63">
        <v>2661</v>
      </c>
      <c r="I9" s="36">
        <f aca="true" t="shared" si="1" ref="I9:I18">C9+D9+E9+F9+G9+H9</f>
        <v>11828</v>
      </c>
      <c r="J9" s="161" t="s">
        <v>8</v>
      </c>
      <c r="K9" s="49"/>
      <c r="L9" s="49">
        <v>2</v>
      </c>
      <c r="M9" s="49"/>
      <c r="N9" s="50">
        <f>IF(L9=1,0.025,0.05)</f>
        <v>0.05</v>
      </c>
      <c r="O9" s="51">
        <f>11861.89</f>
        <v>11861.89</v>
      </c>
      <c r="P9" s="51"/>
      <c r="Q9" s="51">
        <f>(O9)*N9</f>
        <v>593.0945</v>
      </c>
      <c r="R9" s="44"/>
      <c r="S9" s="51">
        <v>781.43</v>
      </c>
      <c r="T9" s="14">
        <v>6495.48</v>
      </c>
      <c r="U9" s="70">
        <f aca="true" t="shared" si="2" ref="U9:U18">SUM(O9:T9)</f>
        <v>19731.8945</v>
      </c>
      <c r="V9" s="83">
        <v>139</v>
      </c>
      <c r="W9" s="73">
        <f>ROUND(X34*V9,2)</f>
        <v>20729.17</v>
      </c>
      <c r="X9" s="74">
        <f aca="true" t="shared" si="3" ref="X9:X18">W9-U9</f>
        <v>997.2754999999997</v>
      </c>
      <c r="Y9" s="138">
        <f>X9*Q37/100</f>
        <v>517.994867455</v>
      </c>
      <c r="Z9" s="16">
        <f aca="true" t="shared" si="4" ref="Z9:Z18">ROUND(Y9/12,2)</f>
        <v>43.17</v>
      </c>
      <c r="AA9" s="18">
        <f>+' 2004 FP OC'!AA9</f>
        <v>564.8</v>
      </c>
      <c r="AB9" s="16">
        <f aca="true" t="shared" si="5" ref="AB9:AB18">ROUND(AA9*0.3838,2)</f>
        <v>216.77</v>
      </c>
      <c r="AC9" s="55">
        <f aca="true" t="shared" si="6" ref="AC9:AC18">AA9+AB9</f>
        <v>781.5699999999999</v>
      </c>
      <c r="AD9" s="58">
        <f aca="true" t="shared" si="7" ref="AD9:AD18">ROUND(AC9*I9,2)</f>
        <v>9244409.96</v>
      </c>
      <c r="AE9" s="138">
        <f t="shared" si="0"/>
        <v>43.17</v>
      </c>
    </row>
    <row r="10" spans="1:31" ht="33.75" customHeight="1" thickBot="1">
      <c r="A10" s="116" t="s">
        <v>154</v>
      </c>
      <c r="B10" s="181" t="s">
        <v>160</v>
      </c>
      <c r="C10" s="2">
        <v>263</v>
      </c>
      <c r="D10" s="2">
        <v>173</v>
      </c>
      <c r="E10" s="2">
        <v>6880</v>
      </c>
      <c r="F10" s="2">
        <v>4306</v>
      </c>
      <c r="G10" s="2">
        <v>6873</v>
      </c>
      <c r="H10" s="2">
        <v>2577</v>
      </c>
      <c r="I10" s="35">
        <f t="shared" si="1"/>
        <v>21072</v>
      </c>
      <c r="J10" s="156"/>
      <c r="K10" s="3"/>
      <c r="L10" s="3">
        <v>1</v>
      </c>
      <c r="M10" s="3"/>
      <c r="N10" s="9">
        <f>IF(L10=1,0.025,0.05)</f>
        <v>0.025</v>
      </c>
      <c r="O10" s="15">
        <f>11861.89</f>
        <v>11861.89</v>
      </c>
      <c r="P10" s="15"/>
      <c r="Q10" s="15">
        <f>(O10)*N10</f>
        <v>296.54725</v>
      </c>
      <c r="R10" s="17"/>
      <c r="S10" s="15">
        <v>781.43</v>
      </c>
      <c r="T10" s="14">
        <v>6495.48</v>
      </c>
      <c r="U10" s="18">
        <f t="shared" si="2"/>
        <v>19435.34725</v>
      </c>
      <c r="V10" s="164">
        <v>135.5</v>
      </c>
      <c r="W10" s="73">
        <f>ROUND(X34*V10,2)</f>
        <v>20207.21</v>
      </c>
      <c r="X10" s="30">
        <f t="shared" si="3"/>
        <v>771.8627500000002</v>
      </c>
      <c r="Y10" s="138">
        <f>X10*Q37/100</f>
        <v>400.9132309775001</v>
      </c>
      <c r="Z10" s="16">
        <f t="shared" si="4"/>
        <v>33.41</v>
      </c>
      <c r="AA10" s="18">
        <f>+' 2004 FP OC'!AA10</f>
        <v>437.44</v>
      </c>
      <c r="AB10" s="16">
        <f t="shared" si="5"/>
        <v>167.89</v>
      </c>
      <c r="AC10" s="56">
        <f t="shared" si="6"/>
        <v>605.3299999999999</v>
      </c>
      <c r="AD10" s="58">
        <f t="shared" si="7"/>
        <v>12755513.76</v>
      </c>
      <c r="AE10" s="138">
        <f t="shared" si="0"/>
        <v>33.41</v>
      </c>
    </row>
    <row r="11" spans="1:31" ht="32.25" customHeight="1" thickBot="1">
      <c r="A11" s="117" t="s">
        <v>155</v>
      </c>
      <c r="B11" s="182"/>
      <c r="C11" s="2">
        <v>0</v>
      </c>
      <c r="D11" s="2">
        <v>0</v>
      </c>
      <c r="E11" s="2">
        <v>3440</v>
      </c>
      <c r="F11" s="2">
        <v>0</v>
      </c>
      <c r="G11" s="2">
        <v>32</v>
      </c>
      <c r="H11" s="2">
        <v>0</v>
      </c>
      <c r="I11" s="35">
        <f t="shared" si="1"/>
        <v>3472</v>
      </c>
      <c r="J11" s="156"/>
      <c r="K11" s="3"/>
      <c r="L11" s="3"/>
      <c r="M11" s="3"/>
      <c r="N11" s="9"/>
      <c r="O11" s="15">
        <f>11861.89</f>
        <v>11861.89</v>
      </c>
      <c r="P11" s="15"/>
      <c r="Q11" s="15"/>
      <c r="R11" s="17"/>
      <c r="S11" s="15">
        <v>781.43</v>
      </c>
      <c r="T11" s="14">
        <v>6495.48</v>
      </c>
      <c r="U11" s="18">
        <f t="shared" si="2"/>
        <v>19138.8</v>
      </c>
      <c r="V11" s="165"/>
      <c r="W11" s="73">
        <f>ROUND(X34*V10,2)</f>
        <v>20207.21</v>
      </c>
      <c r="X11" s="30">
        <f t="shared" si="3"/>
        <v>1068.4099999999999</v>
      </c>
      <c r="Y11" s="138">
        <f>X11*Q37/100</f>
        <v>554.9428380999999</v>
      </c>
      <c r="Z11" s="16">
        <f t="shared" si="4"/>
        <v>46.25</v>
      </c>
      <c r="AA11" s="18">
        <f>+' 2004 FP OC'!AA11</f>
        <v>604.94</v>
      </c>
      <c r="AB11" s="16">
        <f t="shared" si="5"/>
        <v>232.18</v>
      </c>
      <c r="AC11" s="56">
        <f t="shared" si="6"/>
        <v>837.1200000000001</v>
      </c>
      <c r="AD11" s="58">
        <f t="shared" si="7"/>
        <v>2906480.64</v>
      </c>
      <c r="AE11" s="138">
        <f t="shared" si="0"/>
        <v>46.25</v>
      </c>
    </row>
    <row r="12" spans="1:31" ht="35.25" customHeight="1" thickBot="1">
      <c r="A12" s="118" t="s">
        <v>156</v>
      </c>
      <c r="B12" s="183"/>
      <c r="C12" s="2">
        <v>59</v>
      </c>
      <c r="D12" s="2">
        <v>111</v>
      </c>
      <c r="E12" s="2">
        <v>0</v>
      </c>
      <c r="F12" s="2">
        <v>594</v>
      </c>
      <c r="G12" s="2">
        <v>500</v>
      </c>
      <c r="H12" s="2">
        <v>346</v>
      </c>
      <c r="I12" s="35">
        <f t="shared" si="1"/>
        <v>1610</v>
      </c>
      <c r="J12" s="156"/>
      <c r="K12" s="3"/>
      <c r="L12" s="3">
        <v>1</v>
      </c>
      <c r="M12" s="3"/>
      <c r="N12" s="9">
        <f>IF(L12=1,0.025,0.05)</f>
        <v>0.025</v>
      </c>
      <c r="O12" s="15">
        <f>11861.89</f>
        <v>11861.89</v>
      </c>
      <c r="P12" s="15"/>
      <c r="Q12" s="15">
        <f>(O12)*N12</f>
        <v>296.54725</v>
      </c>
      <c r="R12" s="17"/>
      <c r="S12" s="15"/>
      <c r="T12" s="14">
        <v>6495.48</v>
      </c>
      <c r="U12" s="18">
        <f t="shared" si="2"/>
        <v>18653.91725</v>
      </c>
      <c r="V12" s="166"/>
      <c r="W12" s="73">
        <f>ROUND(X34*V10,2)</f>
        <v>20207.21</v>
      </c>
      <c r="X12" s="30">
        <f t="shared" si="3"/>
        <v>1553.2927500000005</v>
      </c>
      <c r="Y12" s="138">
        <f>X12*Q37/100</f>
        <v>806.7957872775004</v>
      </c>
      <c r="Z12" s="16">
        <f t="shared" si="4"/>
        <v>67.23</v>
      </c>
      <c r="AA12" s="18">
        <f>+' 2004 FP OC'!AA12</f>
        <v>878.81</v>
      </c>
      <c r="AB12" s="16">
        <f t="shared" si="5"/>
        <v>337.29</v>
      </c>
      <c r="AC12" s="56">
        <f t="shared" si="6"/>
        <v>1216.1</v>
      </c>
      <c r="AD12" s="58">
        <f t="shared" si="7"/>
        <v>1957921</v>
      </c>
      <c r="AE12" s="138">
        <f t="shared" si="0"/>
        <v>67.23</v>
      </c>
    </row>
    <row r="13" spans="1:31" s="8" customFormat="1" ht="42" customHeight="1" thickBot="1">
      <c r="A13" s="119" t="s">
        <v>164</v>
      </c>
      <c r="B13" s="115" t="s">
        <v>165</v>
      </c>
      <c r="C13" s="2">
        <v>29</v>
      </c>
      <c r="D13" s="2">
        <v>0</v>
      </c>
      <c r="E13" s="2">
        <v>1717</v>
      </c>
      <c r="F13" s="2">
        <v>930</v>
      </c>
      <c r="G13" s="2">
        <v>317</v>
      </c>
      <c r="H13" s="2">
        <v>623</v>
      </c>
      <c r="I13" s="35">
        <f t="shared" si="1"/>
        <v>3616</v>
      </c>
      <c r="J13" s="156"/>
      <c r="K13" s="3"/>
      <c r="L13" s="3"/>
      <c r="M13" s="3"/>
      <c r="N13" s="9"/>
      <c r="O13" s="15">
        <f>11861.89</f>
        <v>11861.89</v>
      </c>
      <c r="P13" s="15"/>
      <c r="Q13" s="15"/>
      <c r="R13" s="15"/>
      <c r="S13" s="15"/>
      <c r="T13" s="14">
        <v>6495.48</v>
      </c>
      <c r="U13" s="18">
        <f t="shared" si="2"/>
        <v>18357.37</v>
      </c>
      <c r="V13" s="81">
        <v>133</v>
      </c>
      <c r="W13" s="73">
        <f>ROUND(X34*V13,2)</f>
        <v>19834.38</v>
      </c>
      <c r="X13" s="30">
        <f t="shared" si="3"/>
        <v>1477.010000000002</v>
      </c>
      <c r="Y13" s="138">
        <f>X13*Q37/100</f>
        <v>767.1737641000011</v>
      </c>
      <c r="Z13" s="16">
        <f t="shared" si="4"/>
        <v>63.93</v>
      </c>
      <c r="AA13" s="18">
        <f>+' 2004 FP OC'!AA13</f>
        <v>835.69</v>
      </c>
      <c r="AB13" s="16">
        <f t="shared" si="5"/>
        <v>320.74</v>
      </c>
      <c r="AC13" s="56">
        <f t="shared" si="6"/>
        <v>1156.43</v>
      </c>
      <c r="AD13" s="58">
        <f t="shared" si="7"/>
        <v>4181650.88</v>
      </c>
      <c r="AE13" s="138">
        <f t="shared" si="0"/>
        <v>63.93</v>
      </c>
    </row>
    <row r="14" spans="1:31" ht="26.25" customHeight="1" thickBot="1">
      <c r="A14" s="102" t="s">
        <v>84</v>
      </c>
      <c r="B14" s="97" t="s">
        <v>85</v>
      </c>
      <c r="C14" s="2">
        <v>714</v>
      </c>
      <c r="D14" s="2">
        <v>993</v>
      </c>
      <c r="E14" s="2">
        <v>26085</v>
      </c>
      <c r="F14" s="2">
        <v>8769</v>
      </c>
      <c r="G14" s="2">
        <v>12562</v>
      </c>
      <c r="H14" s="2">
        <v>12193</v>
      </c>
      <c r="I14" s="35">
        <f t="shared" si="1"/>
        <v>61316</v>
      </c>
      <c r="J14" s="13" t="s">
        <v>26</v>
      </c>
      <c r="K14" s="3"/>
      <c r="L14" s="3"/>
      <c r="M14" s="3"/>
      <c r="N14" s="9"/>
      <c r="O14" s="15">
        <f>11082.86</f>
        <v>11082.86</v>
      </c>
      <c r="P14" s="15"/>
      <c r="Q14" s="15"/>
      <c r="R14" s="15"/>
      <c r="S14" s="15"/>
      <c r="T14" s="15">
        <v>6445.8</v>
      </c>
      <c r="U14" s="18">
        <f t="shared" si="2"/>
        <v>17528.66</v>
      </c>
      <c r="V14" s="81">
        <v>128</v>
      </c>
      <c r="W14" s="73">
        <f>ROUND(X34*V14,2)</f>
        <v>19088.73</v>
      </c>
      <c r="X14" s="30">
        <f t="shared" si="3"/>
        <v>1560.0699999999997</v>
      </c>
      <c r="Y14" s="138">
        <f>X14*Q37/100</f>
        <v>810.3159586999999</v>
      </c>
      <c r="Z14" s="16">
        <f t="shared" si="4"/>
        <v>67.53</v>
      </c>
      <c r="AA14" s="18">
        <f>+' 2004 FP OC'!AA14</f>
        <v>882.55</v>
      </c>
      <c r="AB14" s="16">
        <f t="shared" si="5"/>
        <v>338.72</v>
      </c>
      <c r="AC14" s="56">
        <f t="shared" si="6"/>
        <v>1221.27</v>
      </c>
      <c r="AD14" s="58">
        <f t="shared" si="7"/>
        <v>74883391.32</v>
      </c>
      <c r="AE14" s="138">
        <f t="shared" si="0"/>
        <v>67.53</v>
      </c>
    </row>
    <row r="15" spans="1:31" ht="23.25" customHeight="1" thickBot="1">
      <c r="A15" s="103" t="s">
        <v>86</v>
      </c>
      <c r="B15" s="146" t="s">
        <v>87</v>
      </c>
      <c r="C15" s="2">
        <v>292</v>
      </c>
      <c r="D15" s="2">
        <v>634</v>
      </c>
      <c r="E15" s="2">
        <v>14305</v>
      </c>
      <c r="F15" s="2">
        <v>3853</v>
      </c>
      <c r="G15" s="2">
        <v>3494</v>
      </c>
      <c r="H15" s="2">
        <v>2240</v>
      </c>
      <c r="I15" s="35">
        <f t="shared" si="1"/>
        <v>24818</v>
      </c>
      <c r="J15" s="156" t="s">
        <v>9</v>
      </c>
      <c r="K15" s="3">
        <v>1</v>
      </c>
      <c r="L15" s="3"/>
      <c r="M15" s="9">
        <f>IF(K15=1,0.025,0.05)</f>
        <v>0.025</v>
      </c>
      <c r="N15" s="9"/>
      <c r="O15" s="15">
        <f>10379.57</f>
        <v>10379.57</v>
      </c>
      <c r="P15" s="15">
        <f>(O15)*M15</f>
        <v>259.48925</v>
      </c>
      <c r="Q15" s="15"/>
      <c r="R15" s="15">
        <v>258.23</v>
      </c>
      <c r="S15" s="15"/>
      <c r="T15" s="15">
        <v>6408.48</v>
      </c>
      <c r="U15" s="18">
        <f t="shared" si="2"/>
        <v>17305.769249999998</v>
      </c>
      <c r="V15" s="154">
        <v>124</v>
      </c>
      <c r="W15" s="73">
        <f>ROUND(X34*V15,2)</f>
        <v>18492.21</v>
      </c>
      <c r="X15" s="30">
        <f t="shared" si="3"/>
        <v>1186.4407500000016</v>
      </c>
      <c r="Y15" s="138">
        <f>X15*Q37/100</f>
        <v>616.2491899575009</v>
      </c>
      <c r="Z15" s="16">
        <f t="shared" si="4"/>
        <v>51.35</v>
      </c>
      <c r="AA15" s="18">
        <f>+' 2004 FP OC'!AA15</f>
        <v>671.47</v>
      </c>
      <c r="AB15" s="16">
        <f t="shared" si="5"/>
        <v>257.71</v>
      </c>
      <c r="AC15" s="56">
        <f t="shared" si="6"/>
        <v>929.1800000000001</v>
      </c>
      <c r="AD15" s="58">
        <f t="shared" si="7"/>
        <v>23060389.24</v>
      </c>
      <c r="AE15" s="138">
        <f t="shared" si="0"/>
        <v>51.35</v>
      </c>
    </row>
    <row r="16" spans="1:31" ht="23.25" customHeight="1" thickBot="1">
      <c r="A16" s="104" t="s">
        <v>88</v>
      </c>
      <c r="B16" s="147"/>
      <c r="C16" s="2">
        <v>5</v>
      </c>
      <c r="D16" s="2">
        <v>449</v>
      </c>
      <c r="E16" s="2">
        <v>9537</v>
      </c>
      <c r="F16" s="2">
        <v>1219</v>
      </c>
      <c r="G16" s="2">
        <v>1293</v>
      </c>
      <c r="H16" s="2">
        <v>14</v>
      </c>
      <c r="I16" s="35">
        <f t="shared" si="1"/>
        <v>12517</v>
      </c>
      <c r="J16" s="156"/>
      <c r="K16" s="3">
        <v>1</v>
      </c>
      <c r="L16" s="3"/>
      <c r="M16" s="9">
        <f>IF(K16=1,0.025,0.05)</f>
        <v>0.025</v>
      </c>
      <c r="N16" s="9"/>
      <c r="O16" s="15">
        <f>10379.57</f>
        <v>10379.57</v>
      </c>
      <c r="P16" s="15">
        <f>(O16)*M16</f>
        <v>259.48925</v>
      </c>
      <c r="Q16" s="15"/>
      <c r="R16" s="15"/>
      <c r="S16" s="15"/>
      <c r="T16" s="15">
        <v>6408.48</v>
      </c>
      <c r="U16" s="18">
        <f t="shared" si="2"/>
        <v>17047.53925</v>
      </c>
      <c r="V16" s="155"/>
      <c r="W16" s="73">
        <f>ROUND(X34*V15,2)</f>
        <v>18492.21</v>
      </c>
      <c r="X16" s="30">
        <f t="shared" si="3"/>
        <v>1444.6707499999975</v>
      </c>
      <c r="Y16" s="138">
        <f>X16*Q37/100</f>
        <v>750.3764342574988</v>
      </c>
      <c r="Z16" s="16">
        <f t="shared" si="4"/>
        <v>62.53</v>
      </c>
      <c r="AA16" s="18">
        <f>+' 2004 FP OC'!AA16</f>
        <v>817.33</v>
      </c>
      <c r="AB16" s="16">
        <f t="shared" si="5"/>
        <v>313.69</v>
      </c>
      <c r="AC16" s="56">
        <f t="shared" si="6"/>
        <v>1131.02</v>
      </c>
      <c r="AD16" s="58">
        <f t="shared" si="7"/>
        <v>14156977.34</v>
      </c>
      <c r="AE16" s="138">
        <f t="shared" si="0"/>
        <v>62.53</v>
      </c>
    </row>
    <row r="17" spans="1:31" ht="23.25" customHeight="1" thickBot="1">
      <c r="A17" s="103" t="s">
        <v>89</v>
      </c>
      <c r="B17" s="146" t="s">
        <v>90</v>
      </c>
      <c r="C17" s="2">
        <v>0</v>
      </c>
      <c r="D17" s="2">
        <v>0</v>
      </c>
      <c r="E17" s="2">
        <v>1209</v>
      </c>
      <c r="F17" s="2">
        <v>0</v>
      </c>
      <c r="G17" s="2">
        <v>394</v>
      </c>
      <c r="H17" s="2">
        <v>65</v>
      </c>
      <c r="I17" s="35">
        <f t="shared" si="1"/>
        <v>1668</v>
      </c>
      <c r="J17" s="156" t="s">
        <v>7</v>
      </c>
      <c r="K17" s="3">
        <v>2</v>
      </c>
      <c r="L17" s="3"/>
      <c r="M17" s="9">
        <f>IF(K17=1,0.025,0.05)</f>
        <v>0.05</v>
      </c>
      <c r="N17" s="9"/>
      <c r="O17" s="15">
        <f>9675.07</f>
        <v>9675.07</v>
      </c>
      <c r="P17" s="15">
        <f>(O17)*M17</f>
        <v>483.75350000000003</v>
      </c>
      <c r="Q17" s="15"/>
      <c r="R17" s="15">
        <v>258.23</v>
      </c>
      <c r="S17" s="15"/>
      <c r="T17" s="15">
        <v>6371.04</v>
      </c>
      <c r="U17" s="18">
        <f t="shared" si="2"/>
        <v>16788.0935</v>
      </c>
      <c r="V17" s="154">
        <v>120.75</v>
      </c>
      <c r="W17" s="73">
        <f>ROUND(X34*V17,2)</f>
        <v>18007.53</v>
      </c>
      <c r="X17" s="30">
        <f t="shared" si="3"/>
        <v>1219.4364999999998</v>
      </c>
      <c r="Y17" s="138">
        <f>X17*Q37/100</f>
        <v>633.3875124649999</v>
      </c>
      <c r="Z17" s="16">
        <f t="shared" si="4"/>
        <v>52.78</v>
      </c>
      <c r="AA17" s="18">
        <f>+' 2004 FP OC'!AA17</f>
        <v>690.07</v>
      </c>
      <c r="AB17" s="16">
        <f t="shared" si="5"/>
        <v>264.85</v>
      </c>
      <c r="AC17" s="56">
        <f t="shared" si="6"/>
        <v>954.9200000000001</v>
      </c>
      <c r="AD17" s="58">
        <f t="shared" si="7"/>
        <v>1592806.56</v>
      </c>
      <c r="AE17" s="138">
        <f t="shared" si="0"/>
        <v>52.78</v>
      </c>
    </row>
    <row r="18" spans="1:31" ht="21" customHeight="1" thickBot="1">
      <c r="A18" s="104" t="s">
        <v>91</v>
      </c>
      <c r="B18" s="147"/>
      <c r="C18" s="64">
        <v>31</v>
      </c>
      <c r="D18" s="64">
        <v>170</v>
      </c>
      <c r="E18" s="60">
        <v>1209</v>
      </c>
      <c r="F18" s="60">
        <v>200</v>
      </c>
      <c r="G18" s="60">
        <v>391</v>
      </c>
      <c r="H18" s="60">
        <v>0</v>
      </c>
      <c r="I18" s="37">
        <f t="shared" si="1"/>
        <v>2001</v>
      </c>
      <c r="J18" s="157"/>
      <c r="K18" s="7">
        <v>2</v>
      </c>
      <c r="L18" s="7"/>
      <c r="M18" s="11">
        <f>IF(K18=1,0.025,0.05)</f>
        <v>0.05</v>
      </c>
      <c r="N18" s="11"/>
      <c r="O18" s="14">
        <f>9675.07</f>
        <v>9675.07</v>
      </c>
      <c r="P18" s="14">
        <f>(O18)*M18</f>
        <v>483.75350000000003</v>
      </c>
      <c r="Q18" s="14"/>
      <c r="R18" s="14"/>
      <c r="S18" s="14"/>
      <c r="T18" s="15">
        <v>6371.04</v>
      </c>
      <c r="U18" s="18">
        <f t="shared" si="2"/>
        <v>16529.8635</v>
      </c>
      <c r="V18" s="160"/>
      <c r="W18" s="73">
        <f>ROUND(X34*V17,2)</f>
        <v>18007.53</v>
      </c>
      <c r="X18" s="34">
        <f t="shared" si="3"/>
        <v>1477.6664999999994</v>
      </c>
      <c r="Y18" s="138">
        <f>X18*Q37/100</f>
        <v>767.5147567649998</v>
      </c>
      <c r="Z18" s="16">
        <f t="shared" si="4"/>
        <v>63.96</v>
      </c>
      <c r="AA18" s="18">
        <f>+' 2004 FP OC'!AA18</f>
        <v>835.93</v>
      </c>
      <c r="AB18" s="16">
        <f t="shared" si="5"/>
        <v>320.83</v>
      </c>
      <c r="AC18" s="59">
        <f t="shared" si="6"/>
        <v>1156.76</v>
      </c>
      <c r="AD18" s="58">
        <f t="shared" si="7"/>
        <v>2314676.76</v>
      </c>
      <c r="AE18" s="138">
        <f t="shared" si="0"/>
        <v>63.96</v>
      </c>
    </row>
    <row r="19" spans="2:31" ht="24.75" customHeight="1" thickBot="1">
      <c r="B19" s="105" t="s">
        <v>14</v>
      </c>
      <c r="C19" s="26"/>
      <c r="D19" s="26"/>
      <c r="E19" s="27"/>
      <c r="F19" s="27"/>
      <c r="G19" s="26"/>
      <c r="H19" s="26"/>
      <c r="I19" s="27"/>
      <c r="J19" s="8"/>
      <c r="K19" s="8"/>
      <c r="L19" s="8"/>
      <c r="M19" s="8"/>
      <c r="N19" s="8"/>
      <c r="O19" s="20"/>
      <c r="P19" s="20"/>
      <c r="Q19" s="20"/>
      <c r="R19" s="20"/>
      <c r="S19" s="20"/>
      <c r="T19" s="62"/>
      <c r="U19" s="21"/>
      <c r="V19" s="20"/>
      <c r="W19" s="77"/>
      <c r="X19" s="19"/>
      <c r="Y19" s="139"/>
      <c r="Z19" s="20"/>
      <c r="AA19" s="18"/>
      <c r="AB19" s="20"/>
      <c r="AC19" s="20"/>
      <c r="AD19" s="21"/>
      <c r="AE19" s="139"/>
    </row>
    <row r="20" spans="1:31" ht="25.5" customHeight="1" thickBot="1">
      <c r="A20" s="106" t="s">
        <v>92</v>
      </c>
      <c r="B20" s="146" t="s">
        <v>93</v>
      </c>
      <c r="C20" s="31">
        <v>113</v>
      </c>
      <c r="D20" s="63">
        <v>103</v>
      </c>
      <c r="E20" s="63">
        <v>0</v>
      </c>
      <c r="F20" s="63">
        <v>183</v>
      </c>
      <c r="G20" s="63">
        <v>1200</v>
      </c>
      <c r="H20" s="63">
        <v>1721</v>
      </c>
      <c r="I20" s="63">
        <f aca="true" t="shared" si="8" ref="I20:I26">C20+D20+E20+F20+G20+H20</f>
        <v>3320</v>
      </c>
      <c r="J20" s="161" t="s">
        <v>9</v>
      </c>
      <c r="K20" s="6"/>
      <c r="L20" s="6">
        <v>1</v>
      </c>
      <c r="M20" s="10"/>
      <c r="N20" s="10">
        <f>IF(L20=1,0.025,0.05)</f>
        <v>0.025</v>
      </c>
      <c r="O20" s="16">
        <f>10379.57</f>
        <v>10379.57</v>
      </c>
      <c r="P20" s="16"/>
      <c r="Q20" s="16">
        <f>(O20)*N20</f>
        <v>259.48925</v>
      </c>
      <c r="R20" s="16"/>
      <c r="S20" s="16">
        <v>232.41</v>
      </c>
      <c r="T20" s="15">
        <v>6408.48</v>
      </c>
      <c r="U20" s="18">
        <f aca="true" t="shared" si="9" ref="U20:U26">SUM(O20:T20)</f>
        <v>17279.949249999998</v>
      </c>
      <c r="V20" s="162">
        <v>122.5</v>
      </c>
      <c r="W20" s="73">
        <f>ROUND(X34*V20,2)</f>
        <v>18268.51</v>
      </c>
      <c r="X20" s="32">
        <f aca="true" t="shared" si="10" ref="X20:X26">W20-U20</f>
        <v>988.5607500000006</v>
      </c>
      <c r="Y20" s="138">
        <f>X20*Q37/100</f>
        <v>513.4683391575003</v>
      </c>
      <c r="Z20" s="16">
        <f aca="true" t="shared" si="11" ref="Z20:Z26">ROUND(Y20/12,2)</f>
        <v>42.79</v>
      </c>
      <c r="AA20" s="18">
        <f>+' 2004 FP OC'!AA20</f>
        <v>559.69</v>
      </c>
      <c r="AB20" s="16">
        <f aca="true" t="shared" si="12" ref="AB20:AB26">ROUND(AA20*0.3838,2)</f>
        <v>214.81</v>
      </c>
      <c r="AC20" s="55">
        <f aca="true" t="shared" si="13" ref="AC20:AC26">AA20+AB20</f>
        <v>774.5</v>
      </c>
      <c r="AD20" s="58">
        <f aca="true" t="shared" si="14" ref="AD20:AD26">ROUND(AC20*I20,2)</f>
        <v>2571340</v>
      </c>
      <c r="AE20" s="138">
        <f t="shared" si="0"/>
        <v>42.79</v>
      </c>
    </row>
    <row r="21" spans="1:31" ht="25.5" customHeight="1" thickBot="1">
      <c r="A21" s="107" t="s">
        <v>94</v>
      </c>
      <c r="B21" s="179"/>
      <c r="C21" s="2">
        <v>11</v>
      </c>
      <c r="D21" s="2">
        <v>13</v>
      </c>
      <c r="E21" s="2">
        <v>0</v>
      </c>
      <c r="F21" s="2">
        <v>1020</v>
      </c>
      <c r="G21" s="2">
        <v>448</v>
      </c>
      <c r="H21" s="2">
        <v>587</v>
      </c>
      <c r="I21" s="2">
        <f t="shared" si="8"/>
        <v>2079</v>
      </c>
      <c r="J21" s="156"/>
      <c r="K21" s="3"/>
      <c r="L21" s="3"/>
      <c r="M21" s="9"/>
      <c r="N21" s="9">
        <f>IF(L21=1,0.025,0.05)</f>
        <v>0.05</v>
      </c>
      <c r="O21" s="15">
        <f>10379.57</f>
        <v>10379.57</v>
      </c>
      <c r="P21" s="15"/>
      <c r="Q21" s="15"/>
      <c r="R21" s="15"/>
      <c r="S21" s="15">
        <v>232.41</v>
      </c>
      <c r="T21" s="15">
        <v>6408.48</v>
      </c>
      <c r="U21" s="18">
        <f t="shared" si="9"/>
        <v>17020.46</v>
      </c>
      <c r="V21" s="163"/>
      <c r="W21" s="73">
        <f>ROUND(X34*V20,2)</f>
        <v>18268.51</v>
      </c>
      <c r="X21" s="30">
        <f t="shared" si="10"/>
        <v>1248.0499999999993</v>
      </c>
      <c r="Y21" s="138">
        <f>X21*Q37/100</f>
        <v>648.2496504999996</v>
      </c>
      <c r="Z21" s="16">
        <f t="shared" si="11"/>
        <v>54.02</v>
      </c>
      <c r="AA21" s="18">
        <f>+' 2004 FP OC'!AA21</f>
        <v>706.26</v>
      </c>
      <c r="AB21" s="16">
        <f t="shared" si="12"/>
        <v>271.06</v>
      </c>
      <c r="AC21" s="56">
        <f t="shared" si="13"/>
        <v>977.3199999999999</v>
      </c>
      <c r="AD21" s="58">
        <f t="shared" si="14"/>
        <v>2031848.28</v>
      </c>
      <c r="AE21" s="138">
        <f t="shared" si="0"/>
        <v>54.02</v>
      </c>
    </row>
    <row r="22" spans="1:31" ht="26.25" customHeight="1" thickBot="1">
      <c r="A22" s="108" t="s">
        <v>95</v>
      </c>
      <c r="B22" s="147"/>
      <c r="C22" s="2">
        <v>13</v>
      </c>
      <c r="D22" s="2">
        <v>0</v>
      </c>
      <c r="E22" s="2">
        <v>11</v>
      </c>
      <c r="F22" s="2">
        <v>0</v>
      </c>
      <c r="G22" s="2">
        <v>177</v>
      </c>
      <c r="H22" s="2">
        <v>39</v>
      </c>
      <c r="I22" s="2">
        <f t="shared" si="8"/>
        <v>240</v>
      </c>
      <c r="J22" s="156"/>
      <c r="K22" s="3"/>
      <c r="L22" s="3">
        <v>1</v>
      </c>
      <c r="M22" s="9"/>
      <c r="N22" s="9">
        <f>IF(L22=1,0.025,0.05)</f>
        <v>0.025</v>
      </c>
      <c r="O22" s="15">
        <f>10379.57</f>
        <v>10379.57</v>
      </c>
      <c r="P22" s="15"/>
      <c r="Q22" s="15">
        <f>(O22)*N22</f>
        <v>259.48925</v>
      </c>
      <c r="R22" s="15"/>
      <c r="S22" s="15"/>
      <c r="T22" s="15">
        <v>6408.48</v>
      </c>
      <c r="U22" s="18">
        <f t="shared" si="9"/>
        <v>17047.53925</v>
      </c>
      <c r="V22" s="155"/>
      <c r="W22" s="73">
        <f>ROUND(X34*V20,2)</f>
        <v>18268.51</v>
      </c>
      <c r="X22" s="30">
        <f t="shared" si="10"/>
        <v>1220.9707499999968</v>
      </c>
      <c r="Y22" s="138">
        <f>X22*Q37/100</f>
        <v>634.1844172574984</v>
      </c>
      <c r="Z22" s="16">
        <f t="shared" si="11"/>
        <v>52.85</v>
      </c>
      <c r="AA22" s="18">
        <f>+' 2004 FP OC'!AA22</f>
        <v>690.97</v>
      </c>
      <c r="AB22" s="16">
        <f t="shared" si="12"/>
        <v>265.19</v>
      </c>
      <c r="AC22" s="56">
        <f t="shared" si="13"/>
        <v>956.1600000000001</v>
      </c>
      <c r="AD22" s="58">
        <f t="shared" si="14"/>
        <v>229478.4</v>
      </c>
      <c r="AE22" s="138">
        <f t="shared" si="0"/>
        <v>52.85</v>
      </c>
    </row>
    <row r="23" spans="1:31" ht="27.75" customHeight="1" thickBot="1">
      <c r="A23" s="109" t="s">
        <v>96</v>
      </c>
      <c r="B23" s="110" t="s">
        <v>97</v>
      </c>
      <c r="C23" s="2">
        <v>77</v>
      </c>
      <c r="D23" s="2">
        <v>264</v>
      </c>
      <c r="E23" s="2">
        <v>0</v>
      </c>
      <c r="F23" s="2">
        <v>558</v>
      </c>
      <c r="G23" s="2">
        <v>507</v>
      </c>
      <c r="H23" s="2">
        <v>2238</v>
      </c>
      <c r="I23" s="2">
        <f t="shared" si="8"/>
        <v>3644</v>
      </c>
      <c r="J23" s="13" t="s">
        <v>9</v>
      </c>
      <c r="K23" s="3"/>
      <c r="L23" s="3"/>
      <c r="M23" s="9"/>
      <c r="N23" s="9"/>
      <c r="O23" s="15">
        <f>10379.57</f>
        <v>10379.57</v>
      </c>
      <c r="P23" s="15"/>
      <c r="Q23" s="15"/>
      <c r="R23" s="15"/>
      <c r="S23" s="15"/>
      <c r="T23" s="15">
        <v>6408.48</v>
      </c>
      <c r="U23" s="18">
        <f t="shared" si="9"/>
        <v>16788.05</v>
      </c>
      <c r="V23" s="81">
        <v>120.25</v>
      </c>
      <c r="W23" s="73">
        <f>ROUND(X34*V23,2)</f>
        <v>17932.97</v>
      </c>
      <c r="X23" s="30">
        <f t="shared" si="10"/>
        <v>1144.920000000002</v>
      </c>
      <c r="Y23" s="138">
        <f>X23*Q37/100</f>
        <v>594.682897200001</v>
      </c>
      <c r="Z23" s="16">
        <f t="shared" si="11"/>
        <v>49.56</v>
      </c>
      <c r="AA23" s="18">
        <f>+' 2004 FP OC'!AA23</f>
        <v>647.98</v>
      </c>
      <c r="AB23" s="16">
        <f t="shared" si="12"/>
        <v>248.69</v>
      </c>
      <c r="AC23" s="56">
        <f t="shared" si="13"/>
        <v>896.6700000000001</v>
      </c>
      <c r="AD23" s="58">
        <f t="shared" si="14"/>
        <v>3267465.48</v>
      </c>
      <c r="AE23" s="138">
        <f t="shared" si="0"/>
        <v>49.56</v>
      </c>
    </row>
    <row r="24" spans="1:31" ht="24" customHeight="1" thickBot="1">
      <c r="A24" s="94" t="s">
        <v>98</v>
      </c>
      <c r="B24" s="110" t="s">
        <v>99</v>
      </c>
      <c r="C24" s="2">
        <v>318</v>
      </c>
      <c r="D24" s="2">
        <v>2120</v>
      </c>
      <c r="E24" s="2">
        <v>1875</v>
      </c>
      <c r="F24" s="2">
        <v>6123</v>
      </c>
      <c r="G24" s="2">
        <v>5474</v>
      </c>
      <c r="H24" s="2">
        <v>5442</v>
      </c>
      <c r="I24" s="2">
        <f t="shared" si="8"/>
        <v>21352</v>
      </c>
      <c r="J24" s="156" t="s">
        <v>7</v>
      </c>
      <c r="K24" s="3">
        <v>1</v>
      </c>
      <c r="L24" s="3"/>
      <c r="M24" s="9">
        <f>IF(K24=1,0.025,0.05)</f>
        <v>0.025</v>
      </c>
      <c r="N24" s="9"/>
      <c r="O24" s="15">
        <f>9675.07</f>
        <v>9675.07</v>
      </c>
      <c r="P24" s="15">
        <f>(O24)*M24</f>
        <v>241.87675000000002</v>
      </c>
      <c r="Q24" s="15"/>
      <c r="R24" s="15"/>
      <c r="S24" s="15"/>
      <c r="T24" s="15">
        <v>6371.04</v>
      </c>
      <c r="U24" s="18">
        <f t="shared" si="9"/>
        <v>16287.98675</v>
      </c>
      <c r="V24" s="81">
        <v>116.25</v>
      </c>
      <c r="W24" s="73">
        <f>ROUND(X34*V24,2)</f>
        <v>17336.44</v>
      </c>
      <c r="X24" s="30">
        <f t="shared" si="10"/>
        <v>1048.4532499999987</v>
      </c>
      <c r="Y24" s="138">
        <f>X24*Q37/100</f>
        <v>544.5771025824994</v>
      </c>
      <c r="Z24" s="16">
        <f t="shared" si="11"/>
        <v>45.38</v>
      </c>
      <c r="AA24" s="18">
        <f>+' 2004 FP OC'!AA24</f>
        <v>593.46</v>
      </c>
      <c r="AB24" s="16">
        <f t="shared" si="12"/>
        <v>227.77</v>
      </c>
      <c r="AC24" s="56">
        <f t="shared" si="13"/>
        <v>821.23</v>
      </c>
      <c r="AD24" s="58">
        <f t="shared" si="14"/>
        <v>17534902.96</v>
      </c>
      <c r="AE24" s="138">
        <f t="shared" si="0"/>
        <v>45.38</v>
      </c>
    </row>
    <row r="25" spans="1:31" ht="24" customHeight="1" thickBot="1">
      <c r="A25" s="120" t="s">
        <v>100</v>
      </c>
      <c r="B25" s="146" t="s">
        <v>101</v>
      </c>
      <c r="C25" s="2">
        <v>195</v>
      </c>
      <c r="D25" s="2">
        <v>0</v>
      </c>
      <c r="E25" s="2">
        <v>9462</v>
      </c>
      <c r="F25" s="2">
        <v>3308</v>
      </c>
      <c r="G25" s="2">
        <v>7157</v>
      </c>
      <c r="H25" s="2">
        <v>2231</v>
      </c>
      <c r="I25" s="2">
        <f t="shared" si="8"/>
        <v>22353</v>
      </c>
      <c r="J25" s="156"/>
      <c r="K25" s="3"/>
      <c r="L25" s="3"/>
      <c r="M25" s="9"/>
      <c r="N25" s="9"/>
      <c r="O25" s="15">
        <f>9675.07</f>
        <v>9675.07</v>
      </c>
      <c r="P25" s="15"/>
      <c r="Q25" s="15"/>
      <c r="R25" s="15">
        <v>191.09</v>
      </c>
      <c r="S25" s="15"/>
      <c r="T25" s="15">
        <v>6371.04</v>
      </c>
      <c r="U25" s="18">
        <f t="shared" si="9"/>
        <v>16237.2</v>
      </c>
      <c r="V25" s="154">
        <v>112.5</v>
      </c>
      <c r="W25" s="14">
        <f>ROUND(X34*V25,2)</f>
        <v>16777.2</v>
      </c>
      <c r="X25" s="30">
        <f t="shared" si="10"/>
        <v>540</v>
      </c>
      <c r="Y25" s="138">
        <f>X25*Q37/100</f>
        <v>280.4814</v>
      </c>
      <c r="Z25" s="16">
        <f t="shared" si="11"/>
        <v>23.37</v>
      </c>
      <c r="AA25" s="18">
        <f>+' 2004 FP OC'!AA25</f>
        <v>285.18</v>
      </c>
      <c r="AB25" s="16">
        <f t="shared" si="12"/>
        <v>109.45</v>
      </c>
      <c r="AC25" s="56">
        <f t="shared" si="13"/>
        <v>394.63</v>
      </c>
      <c r="AD25" s="58">
        <f t="shared" si="14"/>
        <v>8821164.39</v>
      </c>
      <c r="AE25" s="138">
        <f t="shared" si="0"/>
        <v>23.37</v>
      </c>
    </row>
    <row r="26" spans="1:31" ht="23.25" customHeight="1" thickBot="1">
      <c r="A26" s="121" t="s">
        <v>102</v>
      </c>
      <c r="B26" s="147"/>
      <c r="C26" s="5">
        <v>852</v>
      </c>
      <c r="D26" s="64">
        <v>1444</v>
      </c>
      <c r="E26" s="60">
        <v>4226</v>
      </c>
      <c r="F26" s="60">
        <v>2083</v>
      </c>
      <c r="G26" s="60">
        <v>4385</v>
      </c>
      <c r="H26" s="60">
        <v>6516</v>
      </c>
      <c r="I26" s="64">
        <f t="shared" si="8"/>
        <v>19506</v>
      </c>
      <c r="J26" s="157"/>
      <c r="K26" s="7"/>
      <c r="L26" s="7"/>
      <c r="M26" s="11"/>
      <c r="N26" s="11"/>
      <c r="O26" s="14">
        <f>9675.07</f>
        <v>9675.07</v>
      </c>
      <c r="P26" s="14"/>
      <c r="Q26" s="14"/>
      <c r="R26" s="14"/>
      <c r="S26" s="14"/>
      <c r="T26" s="15">
        <v>6371.04</v>
      </c>
      <c r="U26" s="18">
        <f t="shared" si="9"/>
        <v>16046.11</v>
      </c>
      <c r="V26" s="160"/>
      <c r="W26" s="14">
        <f>ROUND(X34*V25,2)</f>
        <v>16777.2</v>
      </c>
      <c r="X26" s="34">
        <f t="shared" si="10"/>
        <v>731.0900000000001</v>
      </c>
      <c r="Y26" s="138">
        <f>X26*Q37/100</f>
        <v>379.7354569000001</v>
      </c>
      <c r="Z26" s="16">
        <f t="shared" si="11"/>
        <v>31.64</v>
      </c>
      <c r="AA26" s="18">
        <f>+' 2004 FP OC'!AA26</f>
        <v>393.1</v>
      </c>
      <c r="AB26" s="16">
        <f t="shared" si="12"/>
        <v>150.87</v>
      </c>
      <c r="AC26" s="59">
        <f t="shared" si="13"/>
        <v>543.97</v>
      </c>
      <c r="AD26" s="58">
        <f t="shared" si="14"/>
        <v>10610678.82</v>
      </c>
      <c r="AE26" s="138">
        <f t="shared" si="0"/>
        <v>31.64</v>
      </c>
    </row>
    <row r="27" spans="2:31" ht="25.5" customHeight="1" thickBot="1">
      <c r="B27" s="105" t="s">
        <v>173</v>
      </c>
      <c r="C27" s="33"/>
      <c r="D27" s="33"/>
      <c r="E27" s="27"/>
      <c r="F27" s="27"/>
      <c r="G27" s="33"/>
      <c r="H27" s="33"/>
      <c r="I27" s="27"/>
      <c r="J27" s="8"/>
      <c r="K27" s="8"/>
      <c r="L27" s="8"/>
      <c r="M27" s="8"/>
      <c r="N27" s="8"/>
      <c r="O27" s="20"/>
      <c r="P27" s="20"/>
      <c r="Q27" s="20"/>
      <c r="R27" s="20"/>
      <c r="S27" s="20"/>
      <c r="T27" s="20"/>
      <c r="U27" s="21"/>
      <c r="V27" s="20"/>
      <c r="W27" s="62"/>
      <c r="X27" s="19"/>
      <c r="Y27" s="139"/>
      <c r="Z27" s="20"/>
      <c r="AA27" s="18"/>
      <c r="AB27" s="20"/>
      <c r="AC27" s="20"/>
      <c r="AD27" s="21"/>
      <c r="AE27" s="139"/>
    </row>
    <row r="28" spans="1:31" ht="25.5" customHeight="1" thickBot="1">
      <c r="A28" s="109" t="s">
        <v>103</v>
      </c>
      <c r="B28" s="111" t="s">
        <v>104</v>
      </c>
      <c r="C28" s="63">
        <v>81</v>
      </c>
      <c r="D28" s="63">
        <v>5844</v>
      </c>
      <c r="E28" s="63">
        <v>0</v>
      </c>
      <c r="F28" s="63">
        <v>360</v>
      </c>
      <c r="G28" s="63">
        <v>6504</v>
      </c>
      <c r="H28" s="63">
        <v>4491</v>
      </c>
      <c r="I28" s="31">
        <f>C28+D28+E28+F28+G28+H28</f>
        <v>17280</v>
      </c>
      <c r="J28" s="28" t="s">
        <v>27</v>
      </c>
      <c r="K28" s="6">
        <v>3</v>
      </c>
      <c r="L28" s="6">
        <v>1</v>
      </c>
      <c r="M28" s="4">
        <f>IF(K28=3,0.075,0)</f>
        <v>0.075</v>
      </c>
      <c r="N28" s="10">
        <f>IF(L28=1,0.025,0.05)</f>
        <v>0.025</v>
      </c>
      <c r="O28" s="16">
        <f>8776.59</f>
        <v>8776.59</v>
      </c>
      <c r="P28" s="16">
        <f>(O28)*M28</f>
        <v>658.24425</v>
      </c>
      <c r="Q28" s="16">
        <f>(O28)*N28</f>
        <v>219.41475000000003</v>
      </c>
      <c r="R28" s="16"/>
      <c r="S28" s="16">
        <v>247.9</v>
      </c>
      <c r="T28" s="16">
        <v>6317.88</v>
      </c>
      <c r="U28" s="18">
        <f>SUM(O28:T28)</f>
        <v>16220.028999999999</v>
      </c>
      <c r="V28" s="80">
        <v>113.5</v>
      </c>
      <c r="W28" s="73">
        <f>ROUND(X34*V28,2)</f>
        <v>16926.33</v>
      </c>
      <c r="X28" s="32">
        <f>W28-U28</f>
        <v>706.3010000000031</v>
      </c>
      <c r="Y28" s="138">
        <f>X28*Q37/100</f>
        <v>366.85980241000163</v>
      </c>
      <c r="Z28" s="16">
        <f>ROUND(Y28/12,2)</f>
        <v>30.57</v>
      </c>
      <c r="AA28" s="18">
        <f>+' 2004 FP OC'!AA28</f>
        <v>400.17</v>
      </c>
      <c r="AB28" s="16">
        <f>ROUND(AA28*0.3838,2)</f>
        <v>153.59</v>
      </c>
      <c r="AC28" s="55">
        <f>AA28+AB28</f>
        <v>553.76</v>
      </c>
      <c r="AD28" s="58">
        <f>ROUND(AC28*I28,2)</f>
        <v>9568972.8</v>
      </c>
      <c r="AE28" s="138">
        <f t="shared" si="0"/>
        <v>30.57</v>
      </c>
    </row>
    <row r="29" spans="1:31" ht="24" customHeight="1" thickBot="1">
      <c r="A29" s="103" t="s">
        <v>105</v>
      </c>
      <c r="B29" s="150" t="s">
        <v>106</v>
      </c>
      <c r="C29" s="2">
        <v>26</v>
      </c>
      <c r="D29" s="2">
        <v>3653</v>
      </c>
      <c r="E29" s="2">
        <v>0</v>
      </c>
      <c r="F29" s="2">
        <v>6143</v>
      </c>
      <c r="G29" s="2">
        <v>21</v>
      </c>
      <c r="H29" s="2">
        <v>8698</v>
      </c>
      <c r="I29" s="2">
        <f>C29+D29+E29+F29+G29+H29</f>
        <v>18541</v>
      </c>
      <c r="J29" s="156" t="s">
        <v>27</v>
      </c>
      <c r="K29" s="3">
        <v>3</v>
      </c>
      <c r="L29" s="3"/>
      <c r="M29" s="1">
        <f>IF(K29=3,0.075,0)</f>
        <v>0.075</v>
      </c>
      <c r="N29" s="9"/>
      <c r="O29" s="15">
        <f>8776.59</f>
        <v>8776.59</v>
      </c>
      <c r="P29" s="15">
        <f>(O29)*M29</f>
        <v>658.24425</v>
      </c>
      <c r="Q29" s="15"/>
      <c r="R29" s="15"/>
      <c r="S29" s="15">
        <v>247.9</v>
      </c>
      <c r="T29" s="16">
        <v>6317.88</v>
      </c>
      <c r="U29" s="18">
        <f>SUM(O29:T29)</f>
        <v>16000.614249999999</v>
      </c>
      <c r="V29" s="154">
        <v>111.5</v>
      </c>
      <c r="W29" s="14">
        <f>ROUND(X34*V29,2)</f>
        <v>16628.07</v>
      </c>
      <c r="X29" s="30">
        <f>W29-U29</f>
        <v>627.455750000001</v>
      </c>
      <c r="Y29" s="138">
        <f>X29*Q37/100</f>
        <v>325.90679110750057</v>
      </c>
      <c r="Z29" s="16">
        <f>ROUND(Y29/12,2)</f>
        <v>27.16</v>
      </c>
      <c r="AA29" s="18">
        <f>+' 2004 FP OC'!AA29</f>
        <v>355.62</v>
      </c>
      <c r="AB29" s="16">
        <f>ROUND(AA29*0.3838,2)</f>
        <v>136.49</v>
      </c>
      <c r="AC29" s="56">
        <f>AA29+AB29</f>
        <v>492.11</v>
      </c>
      <c r="AD29" s="58">
        <f>ROUND(AC29*I29,2)</f>
        <v>9124211.51</v>
      </c>
      <c r="AE29" s="138">
        <f t="shared" si="0"/>
        <v>27.16</v>
      </c>
    </row>
    <row r="30" spans="1:31" ht="24" customHeight="1" thickBot="1">
      <c r="A30" s="104" t="s">
        <v>107</v>
      </c>
      <c r="B30" s="151"/>
      <c r="C30" s="2">
        <v>262</v>
      </c>
      <c r="D30" s="2">
        <v>2322</v>
      </c>
      <c r="E30" s="2">
        <v>0</v>
      </c>
      <c r="F30" s="2">
        <v>937</v>
      </c>
      <c r="G30" s="2">
        <v>14845</v>
      </c>
      <c r="H30" s="2">
        <v>2247</v>
      </c>
      <c r="I30" s="2">
        <f>C30+D30+E30+F30+G30+H30</f>
        <v>20613</v>
      </c>
      <c r="J30" s="156"/>
      <c r="K30" s="3">
        <v>3</v>
      </c>
      <c r="L30" s="3"/>
      <c r="M30" s="1">
        <f>IF(K30=3,0.075,0)</f>
        <v>0.075</v>
      </c>
      <c r="N30" s="9"/>
      <c r="O30" s="15">
        <f>8776.59</f>
        <v>8776.59</v>
      </c>
      <c r="P30" s="15">
        <f>(O30)*M30</f>
        <v>658.24425</v>
      </c>
      <c r="Q30" s="15"/>
      <c r="R30" s="15"/>
      <c r="S30" s="15"/>
      <c r="T30" s="16">
        <v>6317.88</v>
      </c>
      <c r="U30" s="18">
        <f>SUM(O30:T30)</f>
        <v>15752.71425</v>
      </c>
      <c r="V30" s="155"/>
      <c r="W30" s="14">
        <f>ROUND(X34*V29,2)</f>
        <v>16628.07</v>
      </c>
      <c r="X30" s="30">
        <f>W30-U30</f>
        <v>875.3557499999988</v>
      </c>
      <c r="Y30" s="138">
        <f>X30*Q37/100</f>
        <v>454.6685301074994</v>
      </c>
      <c r="Z30" s="16">
        <f>ROUND(Y30/12,2)</f>
        <v>37.89</v>
      </c>
      <c r="AA30" s="18">
        <f>+' 2004 FP OC'!AA30</f>
        <v>495.64</v>
      </c>
      <c r="AB30" s="16">
        <f>ROUND(AA30*0.3838,2)</f>
        <v>190.23</v>
      </c>
      <c r="AC30" s="56">
        <f>AA30+AB30</f>
        <v>685.87</v>
      </c>
      <c r="AD30" s="58">
        <f>ROUND(AC30*I30,2)</f>
        <v>14137838.31</v>
      </c>
      <c r="AE30" s="138">
        <f t="shared" si="0"/>
        <v>37.89</v>
      </c>
    </row>
    <row r="31" spans="1:31" ht="18.75" customHeight="1" thickBot="1">
      <c r="A31" s="112" t="s">
        <v>108</v>
      </c>
      <c r="B31" s="112" t="s">
        <v>108</v>
      </c>
      <c r="C31" s="2">
        <v>979</v>
      </c>
      <c r="D31" s="2">
        <v>11668</v>
      </c>
      <c r="E31" s="2">
        <v>4625</v>
      </c>
      <c r="F31" s="2">
        <v>6558</v>
      </c>
      <c r="G31" s="2">
        <v>10130</v>
      </c>
      <c r="H31" s="2">
        <v>22683</v>
      </c>
      <c r="I31" s="2">
        <f>C31+D31+E31+F31+G31+H31</f>
        <v>56643</v>
      </c>
      <c r="J31" s="13" t="s">
        <v>27</v>
      </c>
      <c r="K31" s="3">
        <v>2</v>
      </c>
      <c r="L31" s="3"/>
      <c r="M31" s="9">
        <f>IF(K31=1,0.025,0.05)</f>
        <v>0.05</v>
      </c>
      <c r="N31" s="9"/>
      <c r="O31" s="15">
        <f>8776.59</f>
        <v>8776.59</v>
      </c>
      <c r="P31" s="15">
        <f>(O31)*M31</f>
        <v>438.82950000000005</v>
      </c>
      <c r="Q31" s="15"/>
      <c r="R31" s="15"/>
      <c r="S31" s="15"/>
      <c r="T31" s="16">
        <v>6317.88</v>
      </c>
      <c r="U31" s="18">
        <f>SUM(O31:T31)</f>
        <v>15533.299500000001</v>
      </c>
      <c r="V31" s="81">
        <v>108</v>
      </c>
      <c r="W31" s="14">
        <f>ROUND(X34*V31,2)</f>
        <v>16106.12</v>
      </c>
      <c r="X31" s="30">
        <f>W31-U31</f>
        <v>572.8204999999998</v>
      </c>
      <c r="Y31" s="138">
        <f>X31*Q37/100</f>
        <v>297.5286959049999</v>
      </c>
      <c r="Z31" s="16">
        <f>ROUND(Y31/12,2)</f>
        <v>24.79</v>
      </c>
      <c r="AA31" s="18">
        <f>+' 2004 FP OC'!AA31</f>
        <v>324.72</v>
      </c>
      <c r="AB31" s="16">
        <f>ROUND(AA31*0.3838,2)</f>
        <v>124.63</v>
      </c>
      <c r="AC31" s="56">
        <f>AA31+AB31</f>
        <v>449.35</v>
      </c>
      <c r="AD31" s="58">
        <f>ROUND(AC31*I31,2)</f>
        <v>25452532.05</v>
      </c>
      <c r="AE31" s="138">
        <f t="shared" si="0"/>
        <v>24.79</v>
      </c>
    </row>
    <row r="32" spans="1:31" ht="18.75" customHeight="1" thickBot="1">
      <c r="A32" s="112" t="s">
        <v>109</v>
      </c>
      <c r="B32" s="112" t="s">
        <v>109</v>
      </c>
      <c r="C32" s="2">
        <v>1432</v>
      </c>
      <c r="D32" s="2">
        <v>9700</v>
      </c>
      <c r="E32" s="2">
        <v>25303</v>
      </c>
      <c r="F32" s="2">
        <v>7122</v>
      </c>
      <c r="G32" s="2">
        <v>9095</v>
      </c>
      <c r="H32" s="2">
        <v>16573</v>
      </c>
      <c r="I32" s="2">
        <f>C32+D32+E32+F32+G32+H32</f>
        <v>69225</v>
      </c>
      <c r="J32" s="13" t="s">
        <v>27</v>
      </c>
      <c r="K32" s="3">
        <v>1</v>
      </c>
      <c r="L32" s="3"/>
      <c r="M32" s="9">
        <f>IF(K32=1,0.025,0.05)</f>
        <v>0.025</v>
      </c>
      <c r="N32" s="1"/>
      <c r="O32" s="15">
        <f>8776.59</f>
        <v>8776.59</v>
      </c>
      <c r="P32" s="15">
        <f>(O32)*M32</f>
        <v>219.41475000000003</v>
      </c>
      <c r="Q32" s="15"/>
      <c r="R32" s="15"/>
      <c r="S32" s="15"/>
      <c r="T32" s="16">
        <v>6317.88</v>
      </c>
      <c r="U32" s="18">
        <f>SUM(O32:T32)</f>
        <v>15313.884750000001</v>
      </c>
      <c r="V32" s="81">
        <v>104.5</v>
      </c>
      <c r="W32" s="14">
        <f>ROUND(X34*V32,2)</f>
        <v>15584.16</v>
      </c>
      <c r="X32" s="30">
        <f>W32-U32</f>
        <v>270.2752499999988</v>
      </c>
      <c r="Y32" s="138">
        <f>X32*Q37/100</f>
        <v>140.38366760249937</v>
      </c>
      <c r="Z32" s="16">
        <f>ROUND(Y32/12,2)</f>
        <v>11.7</v>
      </c>
      <c r="AA32" s="18">
        <f>+' 2004 FP OC'!AA32</f>
        <v>153.8</v>
      </c>
      <c r="AB32" s="16">
        <f>ROUND(AA32*0.3838,2)</f>
        <v>59.03</v>
      </c>
      <c r="AC32" s="56">
        <f>AA32+AB32</f>
        <v>212.83</v>
      </c>
      <c r="AD32" s="58">
        <f>ROUND(AC32*I32,2)</f>
        <v>14733156.75</v>
      </c>
      <c r="AE32" s="138">
        <f t="shared" si="0"/>
        <v>11.7</v>
      </c>
    </row>
    <row r="33" spans="9:31" ht="26.25" customHeight="1">
      <c r="I33" s="12"/>
      <c r="V33" s="86"/>
      <c r="W33" s="22"/>
      <c r="X33" s="19"/>
      <c r="Y33" s="139"/>
      <c r="Z33" s="22"/>
      <c r="AA33" s="22"/>
      <c r="AB33" s="22"/>
      <c r="AC33" s="20"/>
      <c r="AD33" s="61"/>
      <c r="AE33" s="139"/>
    </row>
    <row r="34" spans="9:31" ht="26.25" customHeight="1">
      <c r="I34" s="12"/>
      <c r="O34" s="158"/>
      <c r="P34" s="158"/>
      <c r="Q34" s="159"/>
      <c r="R34" s="65"/>
      <c r="S34" s="23" t="e">
        <f>#REF!</f>
        <v>#REF!</v>
      </c>
      <c r="V34" s="22"/>
      <c r="W34" s="12" t="s">
        <v>57</v>
      </c>
      <c r="X34" s="84">
        <v>149.1307</v>
      </c>
      <c r="Y34" s="140"/>
      <c r="Z34" s="19"/>
      <c r="AA34" s="22"/>
      <c r="AB34" s="22"/>
      <c r="AC34" s="22"/>
      <c r="AD34" s="20"/>
      <c r="AE34" s="140"/>
    </row>
    <row r="35" spans="2:31" ht="18.75" customHeight="1">
      <c r="B35" s="92"/>
      <c r="Y35" s="92"/>
      <c r="Z35" s="8"/>
      <c r="AE35" s="92"/>
    </row>
    <row r="36" spans="2:31" ht="18.75" customHeight="1">
      <c r="B36" s="93"/>
      <c r="C36" s="23"/>
      <c r="O36" s="152" t="s">
        <v>41</v>
      </c>
      <c r="P36" s="153"/>
      <c r="Q36" t="s">
        <v>47</v>
      </c>
      <c r="R36" s="23">
        <v>288000000</v>
      </c>
      <c r="S36" t="s">
        <v>48</v>
      </c>
      <c r="U36" s="23">
        <v>638000000</v>
      </c>
      <c r="Z36" s="8"/>
      <c r="AE36" s="92"/>
    </row>
    <row r="37" spans="2:31" ht="27" customHeight="1">
      <c r="B37" s="93"/>
      <c r="C37" s="23"/>
      <c r="O37" s="67" t="s">
        <v>49</v>
      </c>
      <c r="Q37" s="68">
        <v>51.941</v>
      </c>
      <c r="R37" s="67" t="s">
        <v>42</v>
      </c>
      <c r="S37" s="69" t="s">
        <v>43</v>
      </c>
      <c r="Z37" s="8"/>
      <c r="AE37" s="92"/>
    </row>
    <row r="38" ht="18.75" customHeight="1">
      <c r="B38" s="93"/>
    </row>
    <row r="39" ht="18.75" customHeight="1">
      <c r="B39" s="93"/>
    </row>
    <row r="40" ht="18.75" customHeight="1">
      <c r="B40" s="93"/>
    </row>
    <row r="41" ht="18.75" customHeight="1">
      <c r="B41" s="93"/>
    </row>
    <row r="42" ht="18.75" customHeight="1">
      <c r="B42" s="93"/>
    </row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</sheetData>
  <mergeCells count="45">
    <mergeCell ref="AE1:AE2"/>
    <mergeCell ref="A1:A2"/>
    <mergeCell ref="B10:B12"/>
    <mergeCell ref="B15:B16"/>
    <mergeCell ref="B1:B2"/>
    <mergeCell ref="V10:V12"/>
    <mergeCell ref="J15:J16"/>
    <mergeCell ref="V15:V16"/>
    <mergeCell ref="T1:T2"/>
    <mergeCell ref="AD1:AD2"/>
    <mergeCell ref="O36:P36"/>
    <mergeCell ref="V29:V30"/>
    <mergeCell ref="J24:J26"/>
    <mergeCell ref="J29:J30"/>
    <mergeCell ref="O34:Q34"/>
    <mergeCell ref="V20:V22"/>
    <mergeCell ref="B25:B26"/>
    <mergeCell ref="B29:B30"/>
    <mergeCell ref="V25:V26"/>
    <mergeCell ref="J20:J22"/>
    <mergeCell ref="V17:V18"/>
    <mergeCell ref="Z1:Z2"/>
    <mergeCell ref="Y1:Y2"/>
    <mergeCell ref="M1:M2"/>
    <mergeCell ref="N1:N2"/>
    <mergeCell ref="O1:O2"/>
    <mergeCell ref="P1:P2"/>
    <mergeCell ref="S1:S2"/>
    <mergeCell ref="U1:U2"/>
    <mergeCell ref="AA1:AA2"/>
    <mergeCell ref="AB1:AB2"/>
    <mergeCell ref="AC1:AC2"/>
    <mergeCell ref="V1:V2"/>
    <mergeCell ref="W1:W2"/>
    <mergeCell ref="X1:X2"/>
    <mergeCell ref="B17:B18"/>
    <mergeCell ref="B20:B22"/>
    <mergeCell ref="Q1:Q2"/>
    <mergeCell ref="R1:R2"/>
    <mergeCell ref="C1:I1"/>
    <mergeCell ref="J1:J2"/>
    <mergeCell ref="K1:K2"/>
    <mergeCell ref="L1:L2"/>
    <mergeCell ref="J9:J13"/>
    <mergeCell ref="J17:J18"/>
  </mergeCells>
  <printOptions horizontalCentered="1" verticalCentered="1"/>
  <pageMargins left="0.25" right="0.25" top="2.08" bottom="0.5118110236220472" header="0.3937007874015748" footer="0.5118110236220472"/>
  <pageSetup fitToHeight="1" fitToWidth="1" horizontalDpi="600" verticalDpi="600" orientation="portrait" paperSize="8" scale="67" r:id="rId1"/>
  <headerFooter alignWithMargins="0">
    <oddHeader>&amp;L&amp;9
&amp;C&amp;26&amp;UTABELLA B2
ANTICIPAZIONI ANNO 2004
PERSONALE DELLE FORZE DI POLIZIA AD ORDINAMENTO MILITARE
&amp;18(Art. 5 comma 2)&amp;R
Arial,Normale\
</oddHeader>
    <oddFooter>&amp;L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10">
    <pageSetUpPr fitToPage="1"/>
  </sheetPr>
  <dimension ref="A1:AE39"/>
  <sheetViews>
    <sheetView tabSelected="1" workbookViewId="0" topLeftCell="B1">
      <selection activeCell="AJ12" sqref="AJ12"/>
    </sheetView>
  </sheetViews>
  <sheetFormatPr defaultColWidth="9.140625" defaultRowHeight="12.75"/>
  <cols>
    <col min="1" max="1" width="67.421875" style="0" customWidth="1"/>
    <col min="2" max="2" width="61.57421875" style="0" customWidth="1"/>
    <col min="3" max="3" width="14.28125" style="0" hidden="1" customWidth="1"/>
    <col min="4" max="4" width="9.8515625" style="0" hidden="1" customWidth="1"/>
    <col min="5" max="5" width="10.8515625" style="0" hidden="1" customWidth="1"/>
    <col min="6" max="6" width="11.7109375" style="0" hidden="1" customWidth="1"/>
    <col min="7" max="7" width="10.28125" style="0" hidden="1" customWidth="1"/>
    <col min="8" max="8" width="12.57421875" style="0" hidden="1" customWidth="1"/>
    <col min="9" max="9" width="16.57421875" style="0" hidden="1" customWidth="1"/>
    <col min="10" max="10" width="6.57421875" style="0" hidden="1" customWidth="1"/>
    <col min="11" max="11" width="4.8515625" style="0" hidden="1" customWidth="1"/>
    <col min="12" max="12" width="5.00390625" style="0" hidden="1" customWidth="1"/>
    <col min="13" max="13" width="5.8515625" style="0" hidden="1" customWidth="1"/>
    <col min="14" max="14" width="6.28125" style="0" hidden="1" customWidth="1"/>
    <col min="15" max="15" width="11.57421875" style="0" hidden="1" customWidth="1"/>
    <col min="16" max="16" width="11.421875" style="0" hidden="1" customWidth="1"/>
    <col min="17" max="17" width="10.140625" style="0" hidden="1" customWidth="1"/>
    <col min="18" max="18" width="14.00390625" style="0" hidden="1" customWidth="1"/>
    <col min="19" max="19" width="15.8515625" style="0" hidden="1" customWidth="1"/>
    <col min="20" max="20" width="12.28125" style="0" hidden="1" customWidth="1"/>
    <col min="21" max="21" width="14.57421875" style="0" hidden="1" customWidth="1"/>
    <col min="22" max="22" width="15.8515625" style="23" hidden="1" customWidth="1"/>
    <col min="23" max="23" width="14.57421875" style="0" hidden="1" customWidth="1"/>
    <col min="24" max="24" width="13.7109375" style="8" hidden="1" customWidth="1"/>
    <col min="25" max="25" width="22.57421875" style="141" hidden="1" customWidth="1"/>
    <col min="26" max="26" width="15.00390625" style="0" hidden="1" customWidth="1"/>
    <col min="27" max="27" width="21.7109375" style="0" customWidth="1"/>
    <col min="28" max="28" width="15.57421875" style="0" hidden="1" customWidth="1"/>
    <col min="29" max="29" width="15.421875" style="0" hidden="1" customWidth="1"/>
    <col min="30" max="30" width="22.00390625" style="0" hidden="1" customWidth="1"/>
    <col min="31" max="31" width="21.57421875" style="141" hidden="1" customWidth="1"/>
  </cols>
  <sheetData>
    <row r="1" spans="1:31" ht="51" customHeight="1">
      <c r="A1" s="194" t="s">
        <v>110</v>
      </c>
      <c r="B1" s="196" t="s">
        <v>80</v>
      </c>
      <c r="C1" s="201"/>
      <c r="D1" s="202"/>
      <c r="E1" s="202"/>
      <c r="F1" s="202"/>
      <c r="G1" s="202"/>
      <c r="H1" s="202"/>
      <c r="I1" s="203"/>
      <c r="J1" s="174" t="s">
        <v>0</v>
      </c>
      <c r="K1" s="174" t="s">
        <v>1</v>
      </c>
      <c r="L1" s="174" t="s">
        <v>2</v>
      </c>
      <c r="M1" s="175"/>
      <c r="N1" s="161"/>
      <c r="O1" s="167" t="s">
        <v>3</v>
      </c>
      <c r="P1" s="167" t="s">
        <v>4</v>
      </c>
      <c r="Q1" s="167" t="s">
        <v>5</v>
      </c>
      <c r="R1" s="167" t="s">
        <v>18</v>
      </c>
      <c r="S1" s="169" t="s">
        <v>19</v>
      </c>
      <c r="T1" s="170" t="s">
        <v>53</v>
      </c>
      <c r="U1" s="167" t="s">
        <v>22</v>
      </c>
      <c r="V1" s="177" t="s">
        <v>37</v>
      </c>
      <c r="W1" s="167" t="s">
        <v>51</v>
      </c>
      <c r="X1" s="167" t="s">
        <v>52</v>
      </c>
      <c r="Y1" s="148" t="s">
        <v>172</v>
      </c>
      <c r="Z1" s="167" t="s">
        <v>23</v>
      </c>
      <c r="AA1" s="148" t="s">
        <v>171</v>
      </c>
      <c r="AB1" s="167" t="s">
        <v>24</v>
      </c>
      <c r="AC1" s="167" t="s">
        <v>25</v>
      </c>
      <c r="AD1" s="167" t="s">
        <v>50</v>
      </c>
      <c r="AE1" s="148" t="s">
        <v>145</v>
      </c>
    </row>
    <row r="2" spans="1:31" ht="102" customHeight="1" thickBot="1">
      <c r="A2" s="195"/>
      <c r="B2" s="197"/>
      <c r="C2" s="43" t="s">
        <v>34</v>
      </c>
      <c r="D2" s="43" t="s">
        <v>35</v>
      </c>
      <c r="E2" s="43" t="s">
        <v>36</v>
      </c>
      <c r="F2" s="43" t="s">
        <v>54</v>
      </c>
      <c r="G2" s="43" t="s">
        <v>38</v>
      </c>
      <c r="H2" s="43" t="s">
        <v>39</v>
      </c>
      <c r="I2" s="39" t="s">
        <v>56</v>
      </c>
      <c r="J2" s="157"/>
      <c r="K2" s="157"/>
      <c r="L2" s="157"/>
      <c r="M2" s="176"/>
      <c r="N2" s="157"/>
      <c r="O2" s="168"/>
      <c r="P2" s="168"/>
      <c r="Q2" s="168"/>
      <c r="R2" s="168"/>
      <c r="S2" s="168"/>
      <c r="T2" s="171"/>
      <c r="U2" s="168"/>
      <c r="V2" s="178"/>
      <c r="W2" s="168"/>
      <c r="X2" s="168"/>
      <c r="Y2" s="149"/>
      <c r="Z2" s="168"/>
      <c r="AA2" s="149"/>
      <c r="AB2" s="168"/>
      <c r="AC2" s="168"/>
      <c r="AD2" s="168"/>
      <c r="AE2" s="149"/>
    </row>
    <row r="3" spans="1:31" ht="25.5" customHeight="1" thickBot="1">
      <c r="A3" s="1"/>
      <c r="B3" s="87" t="s">
        <v>111</v>
      </c>
      <c r="C3" s="40"/>
      <c r="D3" s="40"/>
      <c r="E3" s="40"/>
      <c r="F3" s="40"/>
      <c r="G3" s="40"/>
      <c r="H3" s="40"/>
      <c r="I3" s="38"/>
      <c r="J3" s="41"/>
      <c r="K3" s="41"/>
      <c r="L3" s="41"/>
      <c r="M3" s="41"/>
      <c r="N3" s="41"/>
      <c r="O3" s="42"/>
      <c r="P3" s="42"/>
      <c r="Q3" s="42"/>
      <c r="R3" s="42"/>
      <c r="S3" s="42"/>
      <c r="T3" s="42"/>
      <c r="U3" s="42"/>
      <c r="V3" s="85"/>
      <c r="W3" s="76"/>
      <c r="X3" s="25"/>
      <c r="Z3" s="8"/>
      <c r="AA3" s="8"/>
      <c r="AB3" s="8"/>
      <c r="AC3" s="8"/>
      <c r="AD3" s="8"/>
      <c r="AE3" s="135"/>
    </row>
    <row r="4" spans="1:31" ht="27.75" customHeight="1" thickBot="1">
      <c r="A4" s="114" t="s">
        <v>144</v>
      </c>
      <c r="B4" s="114" t="s">
        <v>143</v>
      </c>
      <c r="C4" s="63">
        <v>146</v>
      </c>
      <c r="D4" s="63">
        <v>3</v>
      </c>
      <c r="E4" s="63">
        <v>0</v>
      </c>
      <c r="F4" s="63">
        <v>70</v>
      </c>
      <c r="G4" s="63">
        <v>14</v>
      </c>
      <c r="H4" s="63">
        <v>898</v>
      </c>
      <c r="I4" s="79">
        <f>C4+D4+E4+F4+G4+H4</f>
        <v>1131</v>
      </c>
      <c r="J4" s="28" t="s">
        <v>16</v>
      </c>
      <c r="K4" s="6"/>
      <c r="L4" s="6"/>
      <c r="M4" s="10"/>
      <c r="N4" s="10"/>
      <c r="O4" s="16">
        <f>14437.35</f>
        <v>14437.35</v>
      </c>
      <c r="P4" s="16"/>
      <c r="Q4" s="16"/>
      <c r="R4" s="16"/>
      <c r="S4" s="16"/>
      <c r="T4" s="16">
        <v>6641.4</v>
      </c>
      <c r="U4" s="18">
        <f>SUM(O4:T4)</f>
        <v>21078.75</v>
      </c>
      <c r="V4" s="80">
        <v>151</v>
      </c>
      <c r="W4" s="73">
        <f>ROUND(X34*V4,2)</f>
        <v>22518.74</v>
      </c>
      <c r="X4" s="32">
        <f>W4-U4</f>
        <v>1439.9900000000016</v>
      </c>
      <c r="Y4" s="138">
        <f>X4*Q37/100</f>
        <v>747.9452059000009</v>
      </c>
      <c r="Z4" s="16">
        <f>ROUND(Y4/12,2)</f>
        <v>62.33</v>
      </c>
      <c r="AA4" s="18">
        <f>+' 2004 FP OC'!AA4</f>
        <v>730.74</v>
      </c>
      <c r="AB4" s="16">
        <f>ROUND(AA4*0.3838,2)</f>
        <v>280.46</v>
      </c>
      <c r="AC4" s="55">
        <f>AA4+AB4</f>
        <v>1011.2</v>
      </c>
      <c r="AD4" s="58">
        <f>ROUND(AC4*I4,2)</f>
        <v>1143667.2</v>
      </c>
      <c r="AE4" s="138">
        <f>ROUND(Y4/12,2)</f>
        <v>62.33</v>
      </c>
    </row>
    <row r="5" spans="1:31" ht="17.25" customHeight="1" thickBot="1">
      <c r="A5" s="1" t="s">
        <v>81</v>
      </c>
      <c r="B5" s="1" t="s">
        <v>81</v>
      </c>
      <c r="C5" s="2">
        <v>10</v>
      </c>
      <c r="D5" s="2">
        <v>1</v>
      </c>
      <c r="E5" s="2">
        <v>5981</v>
      </c>
      <c r="F5" s="2">
        <v>806</v>
      </c>
      <c r="G5" s="2">
        <v>492</v>
      </c>
      <c r="H5" s="2">
        <v>822</v>
      </c>
      <c r="I5" s="35">
        <f>C5+D5+E5+F5+G5+H5</f>
        <v>8112</v>
      </c>
      <c r="J5" s="13" t="s">
        <v>17</v>
      </c>
      <c r="K5" s="3">
        <v>1</v>
      </c>
      <c r="L5" s="3"/>
      <c r="M5" s="9">
        <f>IF(K5=1,0.025,0.05)</f>
        <v>0.025</v>
      </c>
      <c r="N5" s="9"/>
      <c r="O5" s="15">
        <f>12643.32</f>
        <v>12643.32</v>
      </c>
      <c r="P5" s="15">
        <f>(O5)*M5</f>
        <v>316.083</v>
      </c>
      <c r="Q5" s="15"/>
      <c r="R5" s="15"/>
      <c r="S5" s="15"/>
      <c r="T5" s="15">
        <v>6545.28</v>
      </c>
      <c r="U5" s="18">
        <f>SUM(O5:T5)</f>
        <v>19504.683</v>
      </c>
      <c r="V5" s="81">
        <v>145</v>
      </c>
      <c r="W5" s="14">
        <f>ROUND(X34*V5,2)</f>
        <v>21623.95</v>
      </c>
      <c r="X5" s="30">
        <f>W5-U5</f>
        <v>2119.267</v>
      </c>
      <c r="Y5" s="138">
        <f>X5*Q37/100</f>
        <v>1100.76847247</v>
      </c>
      <c r="Z5" s="16">
        <f>ROUND(Y5/12,2)</f>
        <v>91.73</v>
      </c>
      <c r="AA5" s="18">
        <f>+' 2004 FP OC'!AA5</f>
        <v>1156.47</v>
      </c>
      <c r="AB5" s="16">
        <f>ROUND(AA5*0.3838,2)</f>
        <v>443.85</v>
      </c>
      <c r="AC5" s="56">
        <f>AA5+AB5</f>
        <v>1600.3200000000002</v>
      </c>
      <c r="AD5" s="58">
        <f>ROUND(AC5*I5,2)</f>
        <v>12981795.84</v>
      </c>
      <c r="AE5" s="138">
        <f aca="true" t="shared" si="0" ref="AE5:AE32">ROUND(Y5/12,2)</f>
        <v>91.73</v>
      </c>
    </row>
    <row r="6" spans="1:31" ht="17.25" customHeight="1" thickBot="1">
      <c r="A6" s="1" t="s">
        <v>82</v>
      </c>
      <c r="B6" s="1" t="s">
        <v>82</v>
      </c>
      <c r="C6" s="2">
        <v>125</v>
      </c>
      <c r="D6" s="2">
        <v>5</v>
      </c>
      <c r="E6" s="2">
        <v>3747</v>
      </c>
      <c r="F6" s="2">
        <v>311</v>
      </c>
      <c r="G6" s="2">
        <v>858</v>
      </c>
      <c r="H6" s="2">
        <v>87</v>
      </c>
      <c r="I6" s="35">
        <f>C6+D6+E6+F6+G6+H6</f>
        <v>5133</v>
      </c>
      <c r="J6" s="13" t="s">
        <v>17</v>
      </c>
      <c r="K6" s="3"/>
      <c r="L6" s="3"/>
      <c r="M6" s="9"/>
      <c r="N6" s="9"/>
      <c r="O6" s="15">
        <f>12643.32</f>
        <v>12643.32</v>
      </c>
      <c r="P6" s="15"/>
      <c r="Q6" s="15"/>
      <c r="R6" s="15"/>
      <c r="S6" s="15"/>
      <c r="T6" s="15">
        <v>6545.28</v>
      </c>
      <c r="U6" s="18">
        <f>SUM(O6:T6)</f>
        <v>19188.6</v>
      </c>
      <c r="V6" s="81">
        <v>139</v>
      </c>
      <c r="W6" s="14">
        <f>ROUND(X34*V6,2)</f>
        <v>20729.17</v>
      </c>
      <c r="X6" s="30">
        <f>W6-U6</f>
        <v>1540.5699999999997</v>
      </c>
      <c r="Y6" s="138">
        <f>X6*Q37/100</f>
        <v>800.1874637</v>
      </c>
      <c r="Z6" s="16">
        <f>ROUND(Y6/12,2)</f>
        <v>66.68</v>
      </c>
      <c r="AA6" s="18">
        <f>+' 2004 FP OC'!AA6</f>
        <v>871.66</v>
      </c>
      <c r="AB6" s="16">
        <f>ROUND(AA6*0.3838,2)</f>
        <v>334.54</v>
      </c>
      <c r="AC6" s="56">
        <f>AA6+AB6</f>
        <v>1206.2</v>
      </c>
      <c r="AD6" s="58">
        <f>ROUND(AC6*I6,2)</f>
        <v>6191424.6</v>
      </c>
      <c r="AE6" s="138">
        <f t="shared" si="0"/>
        <v>66.68</v>
      </c>
    </row>
    <row r="7" spans="1:31" ht="17.25" customHeight="1" thickBot="1">
      <c r="A7" s="1" t="s">
        <v>83</v>
      </c>
      <c r="B7" s="1" t="s">
        <v>83</v>
      </c>
      <c r="C7" s="5">
        <v>0</v>
      </c>
      <c r="D7" s="5">
        <v>109</v>
      </c>
      <c r="E7" s="5">
        <v>1630</v>
      </c>
      <c r="F7" s="5">
        <v>110</v>
      </c>
      <c r="G7" s="5">
        <v>297</v>
      </c>
      <c r="H7" s="5">
        <v>0</v>
      </c>
      <c r="I7" s="37">
        <f>C7+D7+E7+F7+G7+H7</f>
        <v>2146</v>
      </c>
      <c r="J7" s="45" t="s">
        <v>8</v>
      </c>
      <c r="K7" s="46"/>
      <c r="L7" s="46"/>
      <c r="M7" s="47"/>
      <c r="N7" s="47"/>
      <c r="O7" s="48">
        <f>11861.89</f>
        <v>11861.89</v>
      </c>
      <c r="P7" s="48"/>
      <c r="Q7" s="48"/>
      <c r="R7" s="48"/>
      <c r="S7" s="48"/>
      <c r="T7" s="14">
        <v>6495.48</v>
      </c>
      <c r="U7" s="71">
        <f>SUM(O7:T7)</f>
        <v>18357.37</v>
      </c>
      <c r="V7" s="82">
        <v>133.25</v>
      </c>
      <c r="W7" s="14">
        <f>ROUND(X34*V7,2)</f>
        <v>19871.67</v>
      </c>
      <c r="X7" s="34">
        <f>W7-U7</f>
        <v>1514.2999999999993</v>
      </c>
      <c r="Y7" s="138">
        <f>X7*Q37/100</f>
        <v>786.5425629999996</v>
      </c>
      <c r="Z7" s="16">
        <f>ROUND(Y7/12,2)</f>
        <v>65.55</v>
      </c>
      <c r="AA7" s="18">
        <f>+' 2004 FP OC'!AA7</f>
        <v>856.75</v>
      </c>
      <c r="AB7" s="16">
        <f>ROUND(AA7*0.3838,2)</f>
        <v>328.82</v>
      </c>
      <c r="AC7" s="57">
        <f>AA7+AB7</f>
        <v>1185.57</v>
      </c>
      <c r="AD7" s="58">
        <f>ROUND(AC7*I7,2)</f>
        <v>2544233.22</v>
      </c>
      <c r="AE7" s="138">
        <f t="shared" si="0"/>
        <v>65.55</v>
      </c>
    </row>
    <row r="8" spans="1:31" ht="25.5" customHeight="1" thickBot="1">
      <c r="A8" s="1"/>
      <c r="B8" s="89" t="s">
        <v>112</v>
      </c>
      <c r="C8" s="26"/>
      <c r="D8" s="26"/>
      <c r="E8" s="27"/>
      <c r="F8" s="27"/>
      <c r="G8" s="26"/>
      <c r="H8" s="26"/>
      <c r="I8" s="27"/>
      <c r="J8" s="24"/>
      <c r="K8" s="52"/>
      <c r="L8" s="52"/>
      <c r="M8" s="53"/>
      <c r="N8" s="53"/>
      <c r="O8" s="54"/>
      <c r="P8" s="54"/>
      <c r="Q8" s="54"/>
      <c r="R8" s="54"/>
      <c r="S8" s="54"/>
      <c r="T8" s="62"/>
      <c r="U8" s="72"/>
      <c r="V8" s="62"/>
      <c r="W8" s="62"/>
      <c r="X8" s="75"/>
      <c r="Y8" s="139"/>
      <c r="Z8" s="20"/>
      <c r="AA8" s="21"/>
      <c r="AB8" s="20"/>
      <c r="AC8" s="20"/>
      <c r="AD8" s="21"/>
      <c r="AE8" s="139"/>
    </row>
    <row r="9" spans="1:31" ht="30.75" customHeight="1" thickBot="1">
      <c r="A9" s="1" t="s">
        <v>113</v>
      </c>
      <c r="B9" s="90" t="s">
        <v>113</v>
      </c>
      <c r="C9" s="63">
        <v>140</v>
      </c>
      <c r="D9" s="63">
        <v>170</v>
      </c>
      <c r="E9" s="63">
        <v>3360</v>
      </c>
      <c r="F9" s="63">
        <v>2392</v>
      </c>
      <c r="G9" s="63">
        <v>3105</v>
      </c>
      <c r="H9" s="63">
        <v>2661</v>
      </c>
      <c r="I9" s="36">
        <f aca="true" t="shared" si="1" ref="I9:I18">C9+D9+E9+F9+G9+H9</f>
        <v>11828</v>
      </c>
      <c r="J9" s="161" t="s">
        <v>8</v>
      </c>
      <c r="K9" s="49"/>
      <c r="L9" s="49">
        <v>2</v>
      </c>
      <c r="M9" s="49"/>
      <c r="N9" s="50">
        <f>IF(L9=1,0.025,0.05)</f>
        <v>0.05</v>
      </c>
      <c r="O9" s="51">
        <f>11861.89</f>
        <v>11861.89</v>
      </c>
      <c r="P9" s="51"/>
      <c r="Q9" s="51">
        <f>(O9)*N9</f>
        <v>593.0945</v>
      </c>
      <c r="R9" s="44"/>
      <c r="S9" s="51">
        <v>781.43</v>
      </c>
      <c r="T9" s="14">
        <v>6495.48</v>
      </c>
      <c r="U9" s="70">
        <f aca="true" t="shared" si="2" ref="U9:U18">SUM(O9:T9)</f>
        <v>19731.8945</v>
      </c>
      <c r="V9" s="83">
        <v>139</v>
      </c>
      <c r="W9" s="73">
        <f>ROUND(X34*V9,2)</f>
        <v>20729.17</v>
      </c>
      <c r="X9" s="74">
        <f aca="true" t="shared" si="3" ref="X9:X18">W9-U9</f>
        <v>997.2754999999997</v>
      </c>
      <c r="Y9" s="138">
        <f>X9*Q37/100</f>
        <v>517.994867455</v>
      </c>
      <c r="Z9" s="16">
        <f aca="true" t="shared" si="4" ref="Z9:Z18">ROUND(Y9/12,2)</f>
        <v>43.17</v>
      </c>
      <c r="AA9" s="18">
        <f>+' 2004 FP OC'!AA9</f>
        <v>564.8</v>
      </c>
      <c r="AB9" s="16">
        <f aca="true" t="shared" si="5" ref="AB9:AB18">ROUND(AA9*0.3838,2)</f>
        <v>216.77</v>
      </c>
      <c r="AC9" s="55">
        <f aca="true" t="shared" si="6" ref="AC9:AC18">AA9+AB9</f>
        <v>781.5699999999999</v>
      </c>
      <c r="AD9" s="58">
        <f aca="true" t="shared" si="7" ref="AD9:AD18">ROUND(AC9*I9,2)</f>
        <v>9244409.96</v>
      </c>
      <c r="AE9" s="138">
        <f t="shared" si="0"/>
        <v>43.17</v>
      </c>
    </row>
    <row r="10" spans="1:31" ht="33.75" customHeight="1" thickBot="1">
      <c r="A10" s="123" t="s">
        <v>114</v>
      </c>
      <c r="B10" s="182" t="s">
        <v>162</v>
      </c>
      <c r="C10" s="2">
        <v>263</v>
      </c>
      <c r="D10" s="2">
        <v>173</v>
      </c>
      <c r="E10" s="2">
        <v>6880</v>
      </c>
      <c r="F10" s="2">
        <v>4306</v>
      </c>
      <c r="G10" s="2">
        <v>6873</v>
      </c>
      <c r="H10" s="2">
        <v>2577</v>
      </c>
      <c r="I10" s="35">
        <f t="shared" si="1"/>
        <v>21072</v>
      </c>
      <c r="J10" s="156"/>
      <c r="K10" s="3"/>
      <c r="L10" s="3">
        <v>1</v>
      </c>
      <c r="M10" s="3"/>
      <c r="N10" s="9">
        <f>IF(L10=1,0.025,0.05)</f>
        <v>0.025</v>
      </c>
      <c r="O10" s="15">
        <f>11861.89</f>
        <v>11861.89</v>
      </c>
      <c r="P10" s="15"/>
      <c r="Q10" s="15">
        <f>(O10)*N10</f>
        <v>296.54725</v>
      </c>
      <c r="R10" s="17"/>
      <c r="S10" s="15">
        <v>781.43</v>
      </c>
      <c r="T10" s="14">
        <v>6495.48</v>
      </c>
      <c r="U10" s="18">
        <f t="shared" si="2"/>
        <v>19435.34725</v>
      </c>
      <c r="V10" s="164">
        <v>135.5</v>
      </c>
      <c r="W10" s="73">
        <f>ROUND(X34*V10,2)</f>
        <v>20207.21</v>
      </c>
      <c r="X10" s="30">
        <f t="shared" si="3"/>
        <v>771.8627500000002</v>
      </c>
      <c r="Y10" s="138">
        <f>X10*Q37/100</f>
        <v>400.9132309775001</v>
      </c>
      <c r="Z10" s="16">
        <f t="shared" si="4"/>
        <v>33.41</v>
      </c>
      <c r="AA10" s="18">
        <f>+' 2004 FP OC'!AA10</f>
        <v>437.44</v>
      </c>
      <c r="AB10" s="16">
        <f t="shared" si="5"/>
        <v>167.89</v>
      </c>
      <c r="AC10" s="56">
        <f t="shared" si="6"/>
        <v>605.3299999999999</v>
      </c>
      <c r="AD10" s="58">
        <f t="shared" si="7"/>
        <v>12755513.76</v>
      </c>
      <c r="AE10" s="138">
        <f t="shared" si="0"/>
        <v>33.41</v>
      </c>
    </row>
    <row r="11" spans="1:31" ht="39.75" customHeight="1" thickBot="1">
      <c r="A11" s="123" t="s">
        <v>115</v>
      </c>
      <c r="B11" s="182"/>
      <c r="C11" s="2">
        <v>0</v>
      </c>
      <c r="D11" s="2">
        <v>0</v>
      </c>
      <c r="E11" s="2">
        <v>3440</v>
      </c>
      <c r="F11" s="2">
        <v>0</v>
      </c>
      <c r="G11" s="2">
        <v>32</v>
      </c>
      <c r="H11" s="2">
        <v>0</v>
      </c>
      <c r="I11" s="35">
        <f t="shared" si="1"/>
        <v>3472</v>
      </c>
      <c r="J11" s="156"/>
      <c r="K11" s="3"/>
      <c r="L11" s="3"/>
      <c r="M11" s="3"/>
      <c r="N11" s="9"/>
      <c r="O11" s="15">
        <f>11861.89</f>
        <v>11861.89</v>
      </c>
      <c r="P11" s="15"/>
      <c r="Q11" s="15"/>
      <c r="R11" s="17"/>
      <c r="S11" s="15">
        <v>781.43</v>
      </c>
      <c r="T11" s="14">
        <v>6495.48</v>
      </c>
      <c r="U11" s="18">
        <f t="shared" si="2"/>
        <v>19138.8</v>
      </c>
      <c r="V11" s="165"/>
      <c r="W11" s="73">
        <f>ROUND(X34*V10,2)</f>
        <v>20207.21</v>
      </c>
      <c r="X11" s="30">
        <f t="shared" si="3"/>
        <v>1068.4099999999999</v>
      </c>
      <c r="Y11" s="138">
        <f>X11*Q37/100</f>
        <v>554.9428380999999</v>
      </c>
      <c r="Z11" s="16">
        <f t="shared" si="4"/>
        <v>46.25</v>
      </c>
      <c r="AA11" s="18">
        <f>+' 2004 FP OC'!AA11</f>
        <v>604.94</v>
      </c>
      <c r="AB11" s="16">
        <f t="shared" si="5"/>
        <v>232.18</v>
      </c>
      <c r="AC11" s="56">
        <f t="shared" si="6"/>
        <v>837.1200000000001</v>
      </c>
      <c r="AD11" s="58">
        <f t="shared" si="7"/>
        <v>2906480.64</v>
      </c>
      <c r="AE11" s="138">
        <f t="shared" si="0"/>
        <v>46.25</v>
      </c>
    </row>
    <row r="12" spans="1:31" ht="34.5" customHeight="1" thickBot="1">
      <c r="A12" s="123" t="s">
        <v>116</v>
      </c>
      <c r="B12" s="182"/>
      <c r="C12" s="2">
        <v>59</v>
      </c>
      <c r="D12" s="2">
        <v>111</v>
      </c>
      <c r="E12" s="2">
        <v>0</v>
      </c>
      <c r="F12" s="2">
        <v>594</v>
      </c>
      <c r="G12" s="2">
        <v>500</v>
      </c>
      <c r="H12" s="2">
        <v>346</v>
      </c>
      <c r="I12" s="35">
        <f t="shared" si="1"/>
        <v>1610</v>
      </c>
      <c r="J12" s="156"/>
      <c r="K12" s="3"/>
      <c r="L12" s="3">
        <v>1</v>
      </c>
      <c r="M12" s="3"/>
      <c r="N12" s="9">
        <f>IF(L12=1,0.025,0.05)</f>
        <v>0.025</v>
      </c>
      <c r="O12" s="15">
        <f>11861.89</f>
        <v>11861.89</v>
      </c>
      <c r="P12" s="15"/>
      <c r="Q12" s="15">
        <f>(O12)*N12</f>
        <v>296.54725</v>
      </c>
      <c r="R12" s="17"/>
      <c r="S12" s="15"/>
      <c r="T12" s="14">
        <v>6495.48</v>
      </c>
      <c r="U12" s="18">
        <f t="shared" si="2"/>
        <v>18653.91725</v>
      </c>
      <c r="V12" s="166"/>
      <c r="W12" s="73">
        <f>ROUND(X34*V10,2)</f>
        <v>20207.21</v>
      </c>
      <c r="X12" s="30">
        <f t="shared" si="3"/>
        <v>1553.2927500000005</v>
      </c>
      <c r="Y12" s="138">
        <f>X12*Q37/100</f>
        <v>806.7957872775004</v>
      </c>
      <c r="Z12" s="16">
        <f t="shared" si="4"/>
        <v>67.23</v>
      </c>
      <c r="AA12" s="18">
        <f>+' 2004 FP OC'!AA12</f>
        <v>878.81</v>
      </c>
      <c r="AB12" s="16">
        <f t="shared" si="5"/>
        <v>337.29</v>
      </c>
      <c r="AC12" s="56">
        <f t="shared" si="6"/>
        <v>1216.1</v>
      </c>
      <c r="AD12" s="58">
        <f t="shared" si="7"/>
        <v>1957921</v>
      </c>
      <c r="AE12" s="138">
        <f t="shared" si="0"/>
        <v>67.23</v>
      </c>
    </row>
    <row r="13" spans="1:31" s="8" customFormat="1" ht="42.75" customHeight="1" thickBot="1">
      <c r="A13" s="123" t="s">
        <v>141</v>
      </c>
      <c r="B13" s="123" t="s">
        <v>142</v>
      </c>
      <c r="C13" s="2">
        <v>29</v>
      </c>
      <c r="D13" s="2">
        <v>0</v>
      </c>
      <c r="E13" s="2">
        <v>1717</v>
      </c>
      <c r="F13" s="2">
        <v>930</v>
      </c>
      <c r="G13" s="2">
        <v>317</v>
      </c>
      <c r="H13" s="2">
        <v>623</v>
      </c>
      <c r="I13" s="35">
        <f t="shared" si="1"/>
        <v>3616</v>
      </c>
      <c r="J13" s="156"/>
      <c r="K13" s="3"/>
      <c r="L13" s="3"/>
      <c r="M13" s="3"/>
      <c r="N13" s="9"/>
      <c r="O13" s="15">
        <f>11861.89</f>
        <v>11861.89</v>
      </c>
      <c r="P13" s="15"/>
      <c r="Q13" s="15"/>
      <c r="R13" s="15"/>
      <c r="S13" s="15"/>
      <c r="T13" s="14">
        <v>6495.48</v>
      </c>
      <c r="U13" s="18">
        <f t="shared" si="2"/>
        <v>18357.37</v>
      </c>
      <c r="V13" s="81">
        <v>133</v>
      </c>
      <c r="W13" s="73">
        <f>ROUND(X34*V13,2)</f>
        <v>19834.38</v>
      </c>
      <c r="X13" s="30">
        <f t="shared" si="3"/>
        <v>1477.010000000002</v>
      </c>
      <c r="Y13" s="138">
        <f>X13*Q37/100</f>
        <v>767.1737641000011</v>
      </c>
      <c r="Z13" s="16">
        <f t="shared" si="4"/>
        <v>63.93</v>
      </c>
      <c r="AA13" s="18">
        <f>+' 2004 FP OC'!AA13</f>
        <v>835.69</v>
      </c>
      <c r="AB13" s="16">
        <f t="shared" si="5"/>
        <v>320.74</v>
      </c>
      <c r="AC13" s="56">
        <f t="shared" si="6"/>
        <v>1156.43</v>
      </c>
      <c r="AD13" s="58">
        <f t="shared" si="7"/>
        <v>4181650.88</v>
      </c>
      <c r="AE13" s="138">
        <f t="shared" si="0"/>
        <v>63.93</v>
      </c>
    </row>
    <row r="14" spans="1:31" ht="33.75" customHeight="1" thickBot="1">
      <c r="A14" s="91" t="s">
        <v>117</v>
      </c>
      <c r="B14" s="90" t="s">
        <v>85</v>
      </c>
      <c r="C14" s="2">
        <v>714</v>
      </c>
      <c r="D14" s="2">
        <v>993</v>
      </c>
      <c r="E14" s="2">
        <v>26085</v>
      </c>
      <c r="F14" s="2">
        <v>8769</v>
      </c>
      <c r="G14" s="2">
        <v>12562</v>
      </c>
      <c r="H14" s="2">
        <v>12193</v>
      </c>
      <c r="I14" s="35">
        <f t="shared" si="1"/>
        <v>61316</v>
      </c>
      <c r="J14" s="13" t="s">
        <v>26</v>
      </c>
      <c r="K14" s="3"/>
      <c r="L14" s="3"/>
      <c r="M14" s="3"/>
      <c r="N14" s="9"/>
      <c r="O14" s="15">
        <f>11082.86</f>
        <v>11082.86</v>
      </c>
      <c r="P14" s="15"/>
      <c r="Q14" s="15"/>
      <c r="R14" s="15"/>
      <c r="S14" s="15"/>
      <c r="T14" s="15">
        <v>6445.8</v>
      </c>
      <c r="U14" s="18">
        <f t="shared" si="2"/>
        <v>17528.66</v>
      </c>
      <c r="V14" s="81">
        <v>128</v>
      </c>
      <c r="W14" s="73">
        <f>ROUND(X34*V14,2)</f>
        <v>19088.73</v>
      </c>
      <c r="X14" s="30">
        <f t="shared" si="3"/>
        <v>1560.0699999999997</v>
      </c>
      <c r="Y14" s="138">
        <f>X14*Q37/100</f>
        <v>810.3159586999999</v>
      </c>
      <c r="Z14" s="16">
        <f t="shared" si="4"/>
        <v>67.53</v>
      </c>
      <c r="AA14" s="18">
        <f>+' 2004 FP OC'!AA14</f>
        <v>882.55</v>
      </c>
      <c r="AB14" s="16">
        <f t="shared" si="5"/>
        <v>338.72</v>
      </c>
      <c r="AC14" s="56">
        <f t="shared" si="6"/>
        <v>1221.27</v>
      </c>
      <c r="AD14" s="58">
        <f t="shared" si="7"/>
        <v>74883391.32</v>
      </c>
      <c r="AE14" s="138">
        <f t="shared" si="0"/>
        <v>67.53</v>
      </c>
    </row>
    <row r="15" spans="1:31" ht="25.5" customHeight="1" thickBot="1">
      <c r="A15" s="91" t="s">
        <v>118</v>
      </c>
      <c r="B15" s="179" t="s">
        <v>161</v>
      </c>
      <c r="C15" s="2">
        <v>292</v>
      </c>
      <c r="D15" s="2">
        <v>634</v>
      </c>
      <c r="E15" s="2">
        <v>14305</v>
      </c>
      <c r="F15" s="2">
        <v>3853</v>
      </c>
      <c r="G15" s="2">
        <v>3494</v>
      </c>
      <c r="H15" s="2">
        <v>2240</v>
      </c>
      <c r="I15" s="35">
        <f t="shared" si="1"/>
        <v>24818</v>
      </c>
      <c r="J15" s="156" t="s">
        <v>9</v>
      </c>
      <c r="K15" s="3">
        <v>1</v>
      </c>
      <c r="L15" s="3"/>
      <c r="M15" s="9">
        <f>IF(K15=1,0.025,0.05)</f>
        <v>0.025</v>
      </c>
      <c r="N15" s="9"/>
      <c r="O15" s="15">
        <f>10379.57</f>
        <v>10379.57</v>
      </c>
      <c r="P15" s="15">
        <f>(O15)*M15</f>
        <v>259.48925</v>
      </c>
      <c r="Q15" s="15"/>
      <c r="R15" s="15">
        <v>258.23</v>
      </c>
      <c r="S15" s="15"/>
      <c r="T15" s="15">
        <v>6408.48</v>
      </c>
      <c r="U15" s="18">
        <f t="shared" si="2"/>
        <v>17305.769249999998</v>
      </c>
      <c r="V15" s="154">
        <v>124</v>
      </c>
      <c r="W15" s="73">
        <f>ROUND(X34*V15,2)</f>
        <v>18492.21</v>
      </c>
      <c r="X15" s="30">
        <f t="shared" si="3"/>
        <v>1186.4407500000016</v>
      </c>
      <c r="Y15" s="138">
        <f>X15*Q37/100</f>
        <v>616.2491899575009</v>
      </c>
      <c r="Z15" s="16">
        <f t="shared" si="4"/>
        <v>51.35</v>
      </c>
      <c r="AA15" s="18">
        <f>+' 2004 FP OC'!AA15</f>
        <v>671.47</v>
      </c>
      <c r="AB15" s="16">
        <f t="shared" si="5"/>
        <v>257.71</v>
      </c>
      <c r="AC15" s="56">
        <f t="shared" si="6"/>
        <v>929.1800000000001</v>
      </c>
      <c r="AD15" s="58">
        <f t="shared" si="7"/>
        <v>23060389.24</v>
      </c>
      <c r="AE15" s="138">
        <f t="shared" si="0"/>
        <v>51.35</v>
      </c>
    </row>
    <row r="16" spans="1:31" ht="23.25" customHeight="1" thickBot="1">
      <c r="A16" s="91" t="s">
        <v>119</v>
      </c>
      <c r="B16" s="179"/>
      <c r="C16" s="2">
        <v>5</v>
      </c>
      <c r="D16" s="2">
        <v>449</v>
      </c>
      <c r="E16" s="2">
        <v>9537</v>
      </c>
      <c r="F16" s="2">
        <v>1219</v>
      </c>
      <c r="G16" s="2">
        <v>1293</v>
      </c>
      <c r="H16" s="2">
        <v>14</v>
      </c>
      <c r="I16" s="35">
        <f t="shared" si="1"/>
        <v>12517</v>
      </c>
      <c r="J16" s="156"/>
      <c r="K16" s="3">
        <v>1</v>
      </c>
      <c r="L16" s="3"/>
      <c r="M16" s="9">
        <f>IF(K16=1,0.025,0.05)</f>
        <v>0.025</v>
      </c>
      <c r="N16" s="9"/>
      <c r="O16" s="15">
        <f>10379.57</f>
        <v>10379.57</v>
      </c>
      <c r="P16" s="15">
        <f>(O16)*M16</f>
        <v>259.48925</v>
      </c>
      <c r="Q16" s="15"/>
      <c r="R16" s="15"/>
      <c r="S16" s="15"/>
      <c r="T16" s="15">
        <v>6408.48</v>
      </c>
      <c r="U16" s="18">
        <f t="shared" si="2"/>
        <v>17047.53925</v>
      </c>
      <c r="V16" s="155"/>
      <c r="W16" s="73">
        <f>ROUND(X34*V15,2)</f>
        <v>18492.21</v>
      </c>
      <c r="X16" s="30">
        <f t="shared" si="3"/>
        <v>1444.6707499999975</v>
      </c>
      <c r="Y16" s="138">
        <f>X16*Q37/100</f>
        <v>750.3764342574988</v>
      </c>
      <c r="Z16" s="16">
        <f t="shared" si="4"/>
        <v>62.53</v>
      </c>
      <c r="AA16" s="18">
        <f>+' 2004 FP OC'!AA16</f>
        <v>817.33</v>
      </c>
      <c r="AB16" s="16">
        <f t="shared" si="5"/>
        <v>313.69</v>
      </c>
      <c r="AC16" s="56">
        <f t="shared" si="6"/>
        <v>1131.02</v>
      </c>
      <c r="AD16" s="58">
        <f t="shared" si="7"/>
        <v>14156977.34</v>
      </c>
      <c r="AE16" s="138">
        <f t="shared" si="0"/>
        <v>62.53</v>
      </c>
    </row>
    <row r="17" spans="1:31" ht="23.25" customHeight="1" thickBot="1">
      <c r="A17" s="91" t="s">
        <v>120</v>
      </c>
      <c r="B17" s="179" t="s">
        <v>121</v>
      </c>
      <c r="C17" s="2">
        <v>0</v>
      </c>
      <c r="D17" s="2">
        <v>0</v>
      </c>
      <c r="E17" s="2">
        <v>1209</v>
      </c>
      <c r="F17" s="2">
        <v>0</v>
      </c>
      <c r="G17" s="2">
        <v>394</v>
      </c>
      <c r="H17" s="2">
        <v>65</v>
      </c>
      <c r="I17" s="35">
        <f t="shared" si="1"/>
        <v>1668</v>
      </c>
      <c r="J17" s="156" t="s">
        <v>7</v>
      </c>
      <c r="K17" s="3">
        <v>2</v>
      </c>
      <c r="L17" s="3"/>
      <c r="M17" s="9">
        <f>IF(K17=1,0.025,0.05)</f>
        <v>0.05</v>
      </c>
      <c r="N17" s="9"/>
      <c r="O17" s="15">
        <f>9675.07</f>
        <v>9675.07</v>
      </c>
      <c r="P17" s="15">
        <f>(O17)*M17</f>
        <v>483.75350000000003</v>
      </c>
      <c r="Q17" s="15"/>
      <c r="R17" s="15">
        <v>258.23</v>
      </c>
      <c r="S17" s="15"/>
      <c r="T17" s="15">
        <v>6371.04</v>
      </c>
      <c r="U17" s="18">
        <f t="shared" si="2"/>
        <v>16788.0935</v>
      </c>
      <c r="V17" s="154">
        <v>120.75</v>
      </c>
      <c r="W17" s="73">
        <f>ROUND(X34*V17,2)</f>
        <v>18007.53</v>
      </c>
      <c r="X17" s="30">
        <f t="shared" si="3"/>
        <v>1219.4364999999998</v>
      </c>
      <c r="Y17" s="138">
        <f>X17*Q37/100</f>
        <v>633.3875124649999</v>
      </c>
      <c r="Z17" s="16">
        <f t="shared" si="4"/>
        <v>52.78</v>
      </c>
      <c r="AA17" s="18">
        <f>+' 2004 FP OC'!AA17</f>
        <v>690.07</v>
      </c>
      <c r="AB17" s="16">
        <f t="shared" si="5"/>
        <v>264.85</v>
      </c>
      <c r="AC17" s="56">
        <f t="shared" si="6"/>
        <v>954.9200000000001</v>
      </c>
      <c r="AD17" s="58">
        <f t="shared" si="7"/>
        <v>1592806.56</v>
      </c>
      <c r="AE17" s="138">
        <f t="shared" si="0"/>
        <v>52.78</v>
      </c>
    </row>
    <row r="18" spans="1:31" ht="17.25" customHeight="1" thickBot="1">
      <c r="A18" s="91" t="s">
        <v>122</v>
      </c>
      <c r="B18" s="179"/>
      <c r="C18" s="64">
        <v>31</v>
      </c>
      <c r="D18" s="64">
        <v>170</v>
      </c>
      <c r="E18" s="60">
        <v>1209</v>
      </c>
      <c r="F18" s="60">
        <v>200</v>
      </c>
      <c r="G18" s="60">
        <v>391</v>
      </c>
      <c r="H18" s="60">
        <v>0</v>
      </c>
      <c r="I18" s="37">
        <f t="shared" si="1"/>
        <v>2001</v>
      </c>
      <c r="J18" s="157"/>
      <c r="K18" s="7">
        <v>2</v>
      </c>
      <c r="L18" s="7"/>
      <c r="M18" s="11">
        <f>IF(K18=1,0.025,0.05)</f>
        <v>0.05</v>
      </c>
      <c r="N18" s="11"/>
      <c r="O18" s="14">
        <f>9675.07</f>
        <v>9675.07</v>
      </c>
      <c r="P18" s="14">
        <f>(O18)*M18</f>
        <v>483.75350000000003</v>
      </c>
      <c r="Q18" s="14"/>
      <c r="R18" s="14"/>
      <c r="S18" s="14"/>
      <c r="T18" s="15">
        <v>6371.04</v>
      </c>
      <c r="U18" s="18">
        <f t="shared" si="2"/>
        <v>16529.8635</v>
      </c>
      <c r="V18" s="160"/>
      <c r="W18" s="73">
        <f>ROUND(X34*V17,2)</f>
        <v>18007.53</v>
      </c>
      <c r="X18" s="34">
        <f t="shared" si="3"/>
        <v>1477.6664999999994</v>
      </c>
      <c r="Y18" s="138">
        <f>X18*Q37/100</f>
        <v>767.5147567649998</v>
      </c>
      <c r="Z18" s="16">
        <f t="shared" si="4"/>
        <v>63.96</v>
      </c>
      <c r="AA18" s="18">
        <f>+' 2004 FP OC'!AA18</f>
        <v>835.93</v>
      </c>
      <c r="AB18" s="16">
        <f t="shared" si="5"/>
        <v>320.83</v>
      </c>
      <c r="AC18" s="59">
        <f t="shared" si="6"/>
        <v>1156.76</v>
      </c>
      <c r="AD18" s="58">
        <f t="shared" si="7"/>
        <v>2314676.76</v>
      </c>
      <c r="AE18" s="138">
        <f t="shared" si="0"/>
        <v>63.96</v>
      </c>
    </row>
    <row r="19" spans="1:31" ht="24.75" customHeight="1" thickBot="1">
      <c r="A19" s="1"/>
      <c r="B19" s="89" t="s">
        <v>123</v>
      </c>
      <c r="C19" s="26"/>
      <c r="D19" s="26"/>
      <c r="E19" s="27"/>
      <c r="F19" s="27"/>
      <c r="G19" s="26"/>
      <c r="H19" s="26"/>
      <c r="I19" s="27"/>
      <c r="J19" s="8"/>
      <c r="K19" s="8"/>
      <c r="L19" s="8"/>
      <c r="M19" s="8"/>
      <c r="N19" s="8"/>
      <c r="O19" s="20"/>
      <c r="P19" s="20"/>
      <c r="Q19" s="20"/>
      <c r="R19" s="20"/>
      <c r="S19" s="20"/>
      <c r="T19" s="62"/>
      <c r="U19" s="21"/>
      <c r="V19" s="20"/>
      <c r="W19" s="77"/>
      <c r="X19" s="19"/>
      <c r="Y19" s="139"/>
      <c r="Z19" s="20"/>
      <c r="AA19" s="21"/>
      <c r="AB19" s="20"/>
      <c r="AC19" s="20"/>
      <c r="AD19" s="21"/>
      <c r="AE19" s="139"/>
    </row>
    <row r="20" spans="1:31" ht="33" customHeight="1" thickBot="1">
      <c r="A20" s="124" t="s">
        <v>124</v>
      </c>
      <c r="B20" s="191" t="s">
        <v>125</v>
      </c>
      <c r="C20" s="31">
        <v>113</v>
      </c>
      <c r="D20" s="63">
        <v>103</v>
      </c>
      <c r="E20" s="63">
        <v>0</v>
      </c>
      <c r="F20" s="63">
        <v>183</v>
      </c>
      <c r="G20" s="63">
        <v>1200</v>
      </c>
      <c r="H20" s="63">
        <v>1721</v>
      </c>
      <c r="I20" s="63">
        <f aca="true" t="shared" si="8" ref="I20:I26">C20+D20+E20+F20+G20+H20</f>
        <v>3320</v>
      </c>
      <c r="J20" s="161" t="s">
        <v>9</v>
      </c>
      <c r="K20" s="6"/>
      <c r="L20" s="6">
        <v>1</v>
      </c>
      <c r="M20" s="10"/>
      <c r="N20" s="10">
        <f>IF(L20=1,0.025,0.05)</f>
        <v>0.025</v>
      </c>
      <c r="O20" s="16">
        <f>10379.57</f>
        <v>10379.57</v>
      </c>
      <c r="P20" s="16"/>
      <c r="Q20" s="16">
        <f>(O20)*N20</f>
        <v>259.48925</v>
      </c>
      <c r="R20" s="16"/>
      <c r="S20" s="16">
        <v>232.41</v>
      </c>
      <c r="T20" s="15">
        <v>6408.48</v>
      </c>
      <c r="U20" s="18">
        <f aca="true" t="shared" si="9" ref="U20:U26">SUM(O20:T20)</f>
        <v>17279.949249999998</v>
      </c>
      <c r="V20" s="162">
        <v>122.5</v>
      </c>
      <c r="W20" s="73">
        <f>ROUND(X34*V20,2)</f>
        <v>18268.51</v>
      </c>
      <c r="X20" s="32">
        <f aca="true" t="shared" si="10" ref="X20:X26">W20-U20</f>
        <v>988.5607500000006</v>
      </c>
      <c r="Y20" s="138">
        <f>X20*Q37/100</f>
        <v>513.4683391575003</v>
      </c>
      <c r="Z20" s="16">
        <f aca="true" t="shared" si="11" ref="Z20:Z26">ROUND(Y20/12,2)</f>
        <v>42.79</v>
      </c>
      <c r="AA20" s="18">
        <f>+' 2004 FP OC'!AA20</f>
        <v>559.69</v>
      </c>
      <c r="AB20" s="16">
        <f aca="true" t="shared" si="12" ref="AB20:AB26">ROUND(AA20*0.3838,2)</f>
        <v>214.81</v>
      </c>
      <c r="AC20" s="55">
        <f aca="true" t="shared" si="13" ref="AC20:AC26">AA20+AB20</f>
        <v>774.5</v>
      </c>
      <c r="AD20" s="58">
        <f aca="true" t="shared" si="14" ref="AD20:AD26">ROUND(AC20*I20,2)</f>
        <v>2571340</v>
      </c>
      <c r="AE20" s="138">
        <f t="shared" si="0"/>
        <v>42.79</v>
      </c>
    </row>
    <row r="21" spans="1:31" ht="33.75" customHeight="1" thickBot="1">
      <c r="A21" s="124" t="s">
        <v>126</v>
      </c>
      <c r="B21" s="191"/>
      <c r="C21" s="2">
        <v>11</v>
      </c>
      <c r="D21" s="2">
        <v>13</v>
      </c>
      <c r="E21" s="2">
        <v>0</v>
      </c>
      <c r="F21" s="2">
        <v>1020</v>
      </c>
      <c r="G21" s="2">
        <v>448</v>
      </c>
      <c r="H21" s="2">
        <v>587</v>
      </c>
      <c r="I21" s="2">
        <f t="shared" si="8"/>
        <v>2079</v>
      </c>
      <c r="J21" s="156"/>
      <c r="K21" s="3"/>
      <c r="L21" s="3"/>
      <c r="M21" s="9"/>
      <c r="N21" s="9">
        <f>IF(L21=1,0.025,0.05)</f>
        <v>0.05</v>
      </c>
      <c r="O21" s="15">
        <f>10379.57</f>
        <v>10379.57</v>
      </c>
      <c r="P21" s="15"/>
      <c r="Q21" s="15"/>
      <c r="R21" s="15"/>
      <c r="S21" s="15">
        <v>232.41</v>
      </c>
      <c r="T21" s="15">
        <v>6408.48</v>
      </c>
      <c r="U21" s="18">
        <f t="shared" si="9"/>
        <v>17020.46</v>
      </c>
      <c r="V21" s="163"/>
      <c r="W21" s="73">
        <f>ROUND(X34*V20,2)</f>
        <v>18268.51</v>
      </c>
      <c r="X21" s="30">
        <f t="shared" si="10"/>
        <v>1248.0499999999993</v>
      </c>
      <c r="Y21" s="138">
        <f>X21*Q37/100</f>
        <v>648.2496504999996</v>
      </c>
      <c r="Z21" s="16">
        <f t="shared" si="11"/>
        <v>54.02</v>
      </c>
      <c r="AA21" s="18">
        <f>+' 2004 FP OC'!AA21</f>
        <v>706.26</v>
      </c>
      <c r="AB21" s="16">
        <f t="shared" si="12"/>
        <v>271.06</v>
      </c>
      <c r="AC21" s="56">
        <f t="shared" si="13"/>
        <v>977.3199999999999</v>
      </c>
      <c r="AD21" s="58">
        <f t="shared" si="14"/>
        <v>2031848.28</v>
      </c>
      <c r="AE21" s="138">
        <f t="shared" si="0"/>
        <v>54.02</v>
      </c>
    </row>
    <row r="22" spans="1:31" ht="30.75" customHeight="1" thickBot="1">
      <c r="A22" s="124" t="s">
        <v>127</v>
      </c>
      <c r="B22" s="191"/>
      <c r="C22" s="2">
        <v>13</v>
      </c>
      <c r="D22" s="2">
        <v>0</v>
      </c>
      <c r="E22" s="2">
        <v>11</v>
      </c>
      <c r="F22" s="2">
        <v>0</v>
      </c>
      <c r="G22" s="2">
        <v>177</v>
      </c>
      <c r="H22" s="2">
        <v>39</v>
      </c>
      <c r="I22" s="2">
        <f t="shared" si="8"/>
        <v>240</v>
      </c>
      <c r="J22" s="156"/>
      <c r="K22" s="3"/>
      <c r="L22" s="3">
        <v>1</v>
      </c>
      <c r="M22" s="9"/>
      <c r="N22" s="9">
        <f>IF(L22=1,0.025,0.05)</f>
        <v>0.025</v>
      </c>
      <c r="O22" s="15">
        <f>10379.57</f>
        <v>10379.57</v>
      </c>
      <c r="P22" s="15"/>
      <c r="Q22" s="15">
        <f>(O22)*N22</f>
        <v>259.48925</v>
      </c>
      <c r="R22" s="15"/>
      <c r="S22" s="15"/>
      <c r="T22" s="15">
        <v>6408.48</v>
      </c>
      <c r="U22" s="18">
        <f t="shared" si="9"/>
        <v>17047.53925</v>
      </c>
      <c r="V22" s="155"/>
      <c r="W22" s="73">
        <f>ROUND(X34*V20,2)</f>
        <v>18268.51</v>
      </c>
      <c r="X22" s="30">
        <f t="shared" si="10"/>
        <v>1220.9707499999968</v>
      </c>
      <c r="Y22" s="138">
        <f>X22*Q37/100</f>
        <v>634.1844172574984</v>
      </c>
      <c r="Z22" s="16">
        <f t="shared" si="11"/>
        <v>52.85</v>
      </c>
      <c r="AA22" s="18">
        <f>+' 2004 FP OC'!AA22</f>
        <v>690.97</v>
      </c>
      <c r="AB22" s="16">
        <f t="shared" si="12"/>
        <v>265.19</v>
      </c>
      <c r="AC22" s="56">
        <f t="shared" si="13"/>
        <v>956.1600000000001</v>
      </c>
      <c r="AD22" s="58">
        <f t="shared" si="14"/>
        <v>229478.4</v>
      </c>
      <c r="AE22" s="138">
        <f t="shared" si="0"/>
        <v>52.85</v>
      </c>
    </row>
    <row r="23" spans="1:31" ht="34.5" customHeight="1" thickBot="1">
      <c r="A23" s="124" t="s">
        <v>128</v>
      </c>
      <c r="B23" s="88" t="s">
        <v>129</v>
      </c>
      <c r="C23" s="2">
        <v>77</v>
      </c>
      <c r="D23" s="2">
        <v>264</v>
      </c>
      <c r="E23" s="2">
        <v>0</v>
      </c>
      <c r="F23" s="2">
        <v>558</v>
      </c>
      <c r="G23" s="2">
        <v>507</v>
      </c>
      <c r="H23" s="2">
        <v>2238</v>
      </c>
      <c r="I23" s="2">
        <f t="shared" si="8"/>
        <v>3644</v>
      </c>
      <c r="J23" s="13" t="s">
        <v>9</v>
      </c>
      <c r="K23" s="3"/>
      <c r="L23" s="3"/>
      <c r="M23" s="9"/>
      <c r="N23" s="9"/>
      <c r="O23" s="15">
        <f>10379.57</f>
        <v>10379.57</v>
      </c>
      <c r="P23" s="15"/>
      <c r="Q23" s="15"/>
      <c r="R23" s="15"/>
      <c r="S23" s="15"/>
      <c r="T23" s="15">
        <v>6408.48</v>
      </c>
      <c r="U23" s="18">
        <f t="shared" si="9"/>
        <v>16788.05</v>
      </c>
      <c r="V23" s="81">
        <v>120.25</v>
      </c>
      <c r="W23" s="73">
        <f>ROUND(X34*V23,2)</f>
        <v>17932.97</v>
      </c>
      <c r="X23" s="30">
        <f t="shared" si="10"/>
        <v>1144.920000000002</v>
      </c>
      <c r="Y23" s="138">
        <f>X23*Q37/100</f>
        <v>594.682897200001</v>
      </c>
      <c r="Z23" s="16">
        <f t="shared" si="11"/>
        <v>49.56</v>
      </c>
      <c r="AA23" s="18">
        <f>+' 2004 FP OC'!AA23</f>
        <v>647.98</v>
      </c>
      <c r="AB23" s="16">
        <f t="shared" si="12"/>
        <v>248.69</v>
      </c>
      <c r="AC23" s="56">
        <f t="shared" si="13"/>
        <v>896.6700000000001</v>
      </c>
      <c r="AD23" s="58">
        <f t="shared" si="14"/>
        <v>3267465.48</v>
      </c>
      <c r="AE23" s="138">
        <f t="shared" si="0"/>
        <v>49.56</v>
      </c>
    </row>
    <row r="24" spans="1:31" ht="26.25" customHeight="1" thickBot="1">
      <c r="A24" s="88" t="s">
        <v>130</v>
      </c>
      <c r="B24" s="88" t="s">
        <v>130</v>
      </c>
      <c r="C24" s="2">
        <v>318</v>
      </c>
      <c r="D24" s="2">
        <v>2120</v>
      </c>
      <c r="E24" s="2">
        <v>1875</v>
      </c>
      <c r="F24" s="2">
        <v>6123</v>
      </c>
      <c r="G24" s="2">
        <v>5474</v>
      </c>
      <c r="H24" s="2">
        <v>5442</v>
      </c>
      <c r="I24" s="2">
        <f t="shared" si="8"/>
        <v>21352</v>
      </c>
      <c r="J24" s="156" t="s">
        <v>7</v>
      </c>
      <c r="K24" s="3">
        <v>1</v>
      </c>
      <c r="L24" s="3"/>
      <c r="M24" s="9">
        <f>IF(K24=1,0.025,0.05)</f>
        <v>0.025</v>
      </c>
      <c r="N24" s="9"/>
      <c r="O24" s="15">
        <f>9675.07</f>
        <v>9675.07</v>
      </c>
      <c r="P24" s="15">
        <f>(O24)*M24</f>
        <v>241.87675000000002</v>
      </c>
      <c r="Q24" s="15"/>
      <c r="R24" s="15"/>
      <c r="S24" s="15"/>
      <c r="T24" s="15">
        <v>6371.04</v>
      </c>
      <c r="U24" s="18">
        <f t="shared" si="9"/>
        <v>16287.98675</v>
      </c>
      <c r="V24" s="81">
        <v>116.25</v>
      </c>
      <c r="W24" s="73">
        <f>ROUND(X34*V24,2)</f>
        <v>17336.44</v>
      </c>
      <c r="X24" s="30">
        <f t="shared" si="10"/>
        <v>1048.4532499999987</v>
      </c>
      <c r="Y24" s="138">
        <f>X24*Q37/100</f>
        <v>544.5771025824994</v>
      </c>
      <c r="Z24" s="16">
        <f t="shared" si="11"/>
        <v>45.38</v>
      </c>
      <c r="AA24" s="18">
        <f>+' 2004 FP OC'!AA24</f>
        <v>593.46</v>
      </c>
      <c r="AB24" s="16">
        <f t="shared" si="12"/>
        <v>227.77</v>
      </c>
      <c r="AC24" s="56">
        <f t="shared" si="13"/>
        <v>821.23</v>
      </c>
      <c r="AD24" s="58">
        <f t="shared" si="14"/>
        <v>17534902.96</v>
      </c>
      <c r="AE24" s="138">
        <f t="shared" si="0"/>
        <v>45.38</v>
      </c>
    </row>
    <row r="25" spans="1:31" ht="18.75" customHeight="1" thickBot="1">
      <c r="A25" s="88" t="s">
        <v>131</v>
      </c>
      <c r="B25" s="191" t="s">
        <v>132</v>
      </c>
      <c r="C25" s="2">
        <v>195</v>
      </c>
      <c r="D25" s="2">
        <v>0</v>
      </c>
      <c r="E25" s="2">
        <v>9462</v>
      </c>
      <c r="F25" s="2">
        <v>3308</v>
      </c>
      <c r="G25" s="2">
        <v>7157</v>
      </c>
      <c r="H25" s="2">
        <v>2231</v>
      </c>
      <c r="I25" s="2">
        <f t="shared" si="8"/>
        <v>22353</v>
      </c>
      <c r="J25" s="156"/>
      <c r="K25" s="3"/>
      <c r="L25" s="3"/>
      <c r="M25" s="9"/>
      <c r="N25" s="9"/>
      <c r="O25" s="15">
        <f>9675.07</f>
        <v>9675.07</v>
      </c>
      <c r="P25" s="15"/>
      <c r="Q25" s="15"/>
      <c r="R25" s="15">
        <v>191.09</v>
      </c>
      <c r="S25" s="15"/>
      <c r="T25" s="15">
        <v>6371.04</v>
      </c>
      <c r="U25" s="18">
        <f t="shared" si="9"/>
        <v>16237.2</v>
      </c>
      <c r="V25" s="154">
        <v>112.5</v>
      </c>
      <c r="W25" s="14">
        <f>ROUND(X34*V25,2)</f>
        <v>16777.2</v>
      </c>
      <c r="X25" s="30">
        <f t="shared" si="10"/>
        <v>540</v>
      </c>
      <c r="Y25" s="138">
        <f>X25*Q37/100</f>
        <v>280.4814</v>
      </c>
      <c r="Z25" s="16">
        <f t="shared" si="11"/>
        <v>23.37</v>
      </c>
      <c r="AA25" s="18">
        <f>+' 2004 FP OC'!AA25</f>
        <v>285.18</v>
      </c>
      <c r="AB25" s="16">
        <f t="shared" si="12"/>
        <v>109.45</v>
      </c>
      <c r="AC25" s="56">
        <f t="shared" si="13"/>
        <v>394.63</v>
      </c>
      <c r="AD25" s="58">
        <f t="shared" si="14"/>
        <v>8821164.39</v>
      </c>
      <c r="AE25" s="138">
        <f t="shared" si="0"/>
        <v>23.37</v>
      </c>
    </row>
    <row r="26" spans="1:31" ht="18.75" customHeight="1" thickBot="1">
      <c r="A26" s="88" t="s">
        <v>133</v>
      </c>
      <c r="B26" s="191"/>
      <c r="C26" s="5">
        <v>852</v>
      </c>
      <c r="D26" s="64">
        <v>1444</v>
      </c>
      <c r="E26" s="60">
        <v>4226</v>
      </c>
      <c r="F26" s="60">
        <v>2083</v>
      </c>
      <c r="G26" s="60">
        <v>4385</v>
      </c>
      <c r="H26" s="60">
        <v>6516</v>
      </c>
      <c r="I26" s="64">
        <f t="shared" si="8"/>
        <v>19506</v>
      </c>
      <c r="J26" s="157"/>
      <c r="K26" s="7"/>
      <c r="L26" s="7"/>
      <c r="M26" s="11"/>
      <c r="N26" s="11"/>
      <c r="O26" s="14">
        <f>9675.07</f>
        <v>9675.07</v>
      </c>
      <c r="P26" s="14"/>
      <c r="Q26" s="14"/>
      <c r="R26" s="14"/>
      <c r="S26" s="14"/>
      <c r="T26" s="15">
        <v>6371.04</v>
      </c>
      <c r="U26" s="18">
        <f t="shared" si="9"/>
        <v>16046.11</v>
      </c>
      <c r="V26" s="160"/>
      <c r="W26" s="14">
        <f>ROUND(X34*V25,2)</f>
        <v>16777.2</v>
      </c>
      <c r="X26" s="34">
        <f t="shared" si="10"/>
        <v>731.0900000000001</v>
      </c>
      <c r="Y26" s="138">
        <f>X26*Q37/100</f>
        <v>379.7354569000001</v>
      </c>
      <c r="Z26" s="16">
        <f t="shared" si="11"/>
        <v>31.64</v>
      </c>
      <c r="AA26" s="18">
        <f>+' 2004 FP OC'!AA26</f>
        <v>393.1</v>
      </c>
      <c r="AB26" s="16">
        <f t="shared" si="12"/>
        <v>150.87</v>
      </c>
      <c r="AC26" s="59">
        <f t="shared" si="13"/>
        <v>543.97</v>
      </c>
      <c r="AD26" s="58">
        <f t="shared" si="14"/>
        <v>10610678.82</v>
      </c>
      <c r="AE26" s="138">
        <f t="shared" si="0"/>
        <v>31.64</v>
      </c>
    </row>
    <row r="27" spans="1:31" ht="25.5" customHeight="1" thickBot="1">
      <c r="A27" s="1"/>
      <c r="B27" s="89" t="s">
        <v>174</v>
      </c>
      <c r="C27" s="33"/>
      <c r="D27" s="33"/>
      <c r="E27" s="27"/>
      <c r="F27" s="27"/>
      <c r="G27" s="33"/>
      <c r="H27" s="33"/>
      <c r="I27" s="27"/>
      <c r="J27" s="8"/>
      <c r="K27" s="8"/>
      <c r="L27" s="8"/>
      <c r="M27" s="8"/>
      <c r="N27" s="8"/>
      <c r="O27" s="20"/>
      <c r="P27" s="20"/>
      <c r="Q27" s="20"/>
      <c r="R27" s="20"/>
      <c r="S27" s="20"/>
      <c r="T27" s="20"/>
      <c r="U27" s="21"/>
      <c r="V27" s="20"/>
      <c r="W27" s="62"/>
      <c r="X27" s="19"/>
      <c r="Y27" s="139"/>
      <c r="Z27" s="20"/>
      <c r="AA27" s="21"/>
      <c r="AB27" s="20"/>
      <c r="AC27" s="20"/>
      <c r="AD27" s="21"/>
      <c r="AE27" s="139"/>
    </row>
    <row r="28" spans="1:31" ht="31.5" customHeight="1" thickBot="1">
      <c r="A28" s="124" t="s">
        <v>134</v>
      </c>
      <c r="B28" s="125" t="s">
        <v>135</v>
      </c>
      <c r="C28" s="63">
        <v>81</v>
      </c>
      <c r="D28" s="63">
        <v>5844</v>
      </c>
      <c r="E28" s="63">
        <v>0</v>
      </c>
      <c r="F28" s="63">
        <v>360</v>
      </c>
      <c r="G28" s="63">
        <v>6504</v>
      </c>
      <c r="H28" s="63">
        <v>4491</v>
      </c>
      <c r="I28" s="31">
        <f>C28+D28+E28+F28+G28+H28</f>
        <v>17280</v>
      </c>
      <c r="J28" s="28" t="s">
        <v>27</v>
      </c>
      <c r="K28" s="6">
        <v>3</v>
      </c>
      <c r="L28" s="6">
        <v>1</v>
      </c>
      <c r="M28" s="4">
        <f>IF(K28=3,0.075,0)</f>
        <v>0.075</v>
      </c>
      <c r="N28" s="10">
        <f>IF(L28=1,0.025,0.05)</f>
        <v>0.025</v>
      </c>
      <c r="O28" s="16">
        <f>8776.59</f>
        <v>8776.59</v>
      </c>
      <c r="P28" s="16">
        <f>(O28)*M28</f>
        <v>658.24425</v>
      </c>
      <c r="Q28" s="16">
        <f>(O28)*N28</f>
        <v>219.41475000000003</v>
      </c>
      <c r="R28" s="16"/>
      <c r="S28" s="16">
        <v>247.9</v>
      </c>
      <c r="T28" s="16">
        <v>6317.88</v>
      </c>
      <c r="U28" s="18">
        <f>SUM(O28:T28)</f>
        <v>16220.028999999999</v>
      </c>
      <c r="V28" s="80">
        <v>113.5</v>
      </c>
      <c r="W28" s="73">
        <f>ROUND(X34*V28,2)</f>
        <v>16926.33</v>
      </c>
      <c r="X28" s="32">
        <f>W28-U28</f>
        <v>706.3010000000031</v>
      </c>
      <c r="Y28" s="138">
        <f>X28*Q37/100</f>
        <v>366.85980241000163</v>
      </c>
      <c r="Z28" s="16">
        <f>ROUND(Y28/12,2)</f>
        <v>30.57</v>
      </c>
      <c r="AA28" s="18">
        <f>+' 2004 FP OC'!AA28</f>
        <v>400.17</v>
      </c>
      <c r="AB28" s="16">
        <f>ROUND(AA28*0.3838,2)</f>
        <v>153.59</v>
      </c>
      <c r="AC28" s="55">
        <f>AA28+AB28</f>
        <v>553.76</v>
      </c>
      <c r="AD28" s="58">
        <f>ROUND(AC28*I28,2)</f>
        <v>9568972.8</v>
      </c>
      <c r="AE28" s="138">
        <f t="shared" si="0"/>
        <v>30.57</v>
      </c>
    </row>
    <row r="29" spans="1:31" ht="32.25" customHeight="1" thickBot="1">
      <c r="A29" s="126" t="s">
        <v>136</v>
      </c>
      <c r="B29" s="192" t="s">
        <v>137</v>
      </c>
      <c r="C29" s="2">
        <v>26</v>
      </c>
      <c r="D29" s="2">
        <v>3653</v>
      </c>
      <c r="E29" s="2">
        <v>0</v>
      </c>
      <c r="F29" s="2">
        <v>6143</v>
      </c>
      <c r="G29" s="2">
        <v>21</v>
      </c>
      <c r="H29" s="2">
        <v>8698</v>
      </c>
      <c r="I29" s="2">
        <f>C29+D29+E29+F29+G29+H29</f>
        <v>18541</v>
      </c>
      <c r="J29" s="156" t="s">
        <v>27</v>
      </c>
      <c r="K29" s="3">
        <v>3</v>
      </c>
      <c r="L29" s="3"/>
      <c r="M29" s="1">
        <f>IF(K29=3,0.075,0)</f>
        <v>0.075</v>
      </c>
      <c r="N29" s="9"/>
      <c r="O29" s="15">
        <f>8776.59</f>
        <v>8776.59</v>
      </c>
      <c r="P29" s="15">
        <f>(O29)*M29</f>
        <v>658.24425</v>
      </c>
      <c r="Q29" s="15"/>
      <c r="R29" s="15"/>
      <c r="S29" s="15">
        <v>247.9</v>
      </c>
      <c r="T29" s="16">
        <v>6317.88</v>
      </c>
      <c r="U29" s="18">
        <f>SUM(O29:T29)</f>
        <v>16000.614249999999</v>
      </c>
      <c r="V29" s="154">
        <v>111.5</v>
      </c>
      <c r="W29" s="14">
        <f>ROUND(X34*V29,2)</f>
        <v>16628.07</v>
      </c>
      <c r="X29" s="30">
        <f>W29-U29</f>
        <v>627.455750000001</v>
      </c>
      <c r="Y29" s="138">
        <f>X29*Q37/100</f>
        <v>325.90679110750057</v>
      </c>
      <c r="Z29" s="16">
        <f>ROUND(Y29/12,2)</f>
        <v>27.16</v>
      </c>
      <c r="AA29" s="18">
        <f>+' 2004 FP OC'!AA29</f>
        <v>355.62</v>
      </c>
      <c r="AB29" s="16">
        <f>ROUND(AA29*0.3838,2)</f>
        <v>136.49</v>
      </c>
      <c r="AC29" s="56">
        <f>AA29+AB29</f>
        <v>492.11</v>
      </c>
      <c r="AD29" s="58">
        <f>ROUND(AC29*I29,2)</f>
        <v>9124211.51</v>
      </c>
      <c r="AE29" s="138">
        <f t="shared" si="0"/>
        <v>27.16</v>
      </c>
    </row>
    <row r="30" spans="1:31" ht="33" customHeight="1" thickBot="1">
      <c r="A30" s="126" t="s">
        <v>138</v>
      </c>
      <c r="B30" s="193"/>
      <c r="C30" s="2">
        <v>262</v>
      </c>
      <c r="D30" s="2">
        <v>2322</v>
      </c>
      <c r="E30" s="2">
        <v>0</v>
      </c>
      <c r="F30" s="2">
        <v>937</v>
      </c>
      <c r="G30" s="2">
        <v>14845</v>
      </c>
      <c r="H30" s="2">
        <v>2247</v>
      </c>
      <c r="I30" s="2">
        <f>C30+D30+E30+F30+G30+H30</f>
        <v>20613</v>
      </c>
      <c r="J30" s="156"/>
      <c r="K30" s="3">
        <v>3</v>
      </c>
      <c r="L30" s="3"/>
      <c r="M30" s="1">
        <f>IF(K30=3,0.075,0)</f>
        <v>0.075</v>
      </c>
      <c r="N30" s="9"/>
      <c r="O30" s="15">
        <f>8776.59</f>
        <v>8776.59</v>
      </c>
      <c r="P30" s="15">
        <f>(O30)*M30</f>
        <v>658.24425</v>
      </c>
      <c r="Q30" s="15"/>
      <c r="R30" s="15"/>
      <c r="S30" s="15"/>
      <c r="T30" s="16">
        <v>6317.88</v>
      </c>
      <c r="U30" s="18">
        <f>SUM(O30:T30)</f>
        <v>15752.71425</v>
      </c>
      <c r="V30" s="155"/>
      <c r="W30" s="14">
        <f>ROUND(X34*V29,2)</f>
        <v>16628.07</v>
      </c>
      <c r="X30" s="30">
        <f>W30-U30</f>
        <v>875.3557499999988</v>
      </c>
      <c r="Y30" s="138">
        <f>X30*Q37/100</f>
        <v>454.6685301074994</v>
      </c>
      <c r="Z30" s="16">
        <f>ROUND(Y30/12,2)</f>
        <v>37.89</v>
      </c>
      <c r="AA30" s="18">
        <f>+' 2004 FP OC'!AA30</f>
        <v>495.64</v>
      </c>
      <c r="AB30" s="16">
        <f>ROUND(AA30*0.3838,2)</f>
        <v>190.23</v>
      </c>
      <c r="AC30" s="56">
        <f>AA30+AB30</f>
        <v>685.87</v>
      </c>
      <c r="AD30" s="58">
        <f>ROUND(AC30*I30,2)</f>
        <v>14137838.31</v>
      </c>
      <c r="AE30" s="138">
        <f t="shared" si="0"/>
        <v>37.89</v>
      </c>
    </row>
    <row r="31" spans="1:31" ht="23.25" customHeight="1" thickBot="1">
      <c r="A31" s="122" t="s">
        <v>139</v>
      </c>
      <c r="B31" s="127" t="s">
        <v>139</v>
      </c>
      <c r="C31" s="2">
        <v>979</v>
      </c>
      <c r="D31" s="2">
        <v>11668</v>
      </c>
      <c r="E31" s="2">
        <v>4625</v>
      </c>
      <c r="F31" s="2">
        <v>6558</v>
      </c>
      <c r="G31" s="2">
        <v>10130</v>
      </c>
      <c r="H31" s="2">
        <v>22683</v>
      </c>
      <c r="I31" s="2">
        <f>C31+D31+E31+F31+G31+H31</f>
        <v>56643</v>
      </c>
      <c r="J31" s="13" t="s">
        <v>27</v>
      </c>
      <c r="K31" s="3">
        <v>2</v>
      </c>
      <c r="L31" s="3"/>
      <c r="M31" s="9">
        <f>IF(K31=1,0.025,0.05)</f>
        <v>0.05</v>
      </c>
      <c r="N31" s="9"/>
      <c r="O31" s="15">
        <f>8776.59</f>
        <v>8776.59</v>
      </c>
      <c r="P31" s="15">
        <f>(O31)*M31</f>
        <v>438.82950000000005</v>
      </c>
      <c r="Q31" s="15"/>
      <c r="R31" s="15"/>
      <c r="S31" s="15"/>
      <c r="T31" s="16">
        <v>6317.88</v>
      </c>
      <c r="U31" s="18">
        <f>SUM(O31:T31)</f>
        <v>15533.299500000001</v>
      </c>
      <c r="V31" s="81">
        <v>108</v>
      </c>
      <c r="W31" s="14">
        <f>ROUND(X34*V31,2)</f>
        <v>16106.12</v>
      </c>
      <c r="X31" s="30">
        <f>W31-U31</f>
        <v>572.8204999999998</v>
      </c>
      <c r="Y31" s="138">
        <f>X31*Q37/100</f>
        <v>297.5286959049999</v>
      </c>
      <c r="Z31" s="16">
        <f>ROUND(Y31/12,2)</f>
        <v>24.79</v>
      </c>
      <c r="AA31" s="18">
        <f>+' 2004 FP OC'!AA31</f>
        <v>324.72</v>
      </c>
      <c r="AB31" s="16">
        <f>ROUND(AA31*0.3838,2)</f>
        <v>124.63</v>
      </c>
      <c r="AC31" s="56">
        <f>AA31+AB31</f>
        <v>449.35</v>
      </c>
      <c r="AD31" s="58">
        <f>ROUND(AC31*I31,2)</f>
        <v>25452532.05</v>
      </c>
      <c r="AE31" s="138">
        <f t="shared" si="0"/>
        <v>24.79</v>
      </c>
    </row>
    <row r="32" spans="1:31" ht="18.75" customHeight="1" thickBot="1">
      <c r="A32" s="122" t="s">
        <v>140</v>
      </c>
      <c r="B32" s="127" t="s">
        <v>140</v>
      </c>
      <c r="C32" s="2">
        <v>1432</v>
      </c>
      <c r="D32" s="2">
        <v>9700</v>
      </c>
      <c r="E32" s="2">
        <v>25303</v>
      </c>
      <c r="F32" s="2">
        <v>7122</v>
      </c>
      <c r="G32" s="2">
        <v>9095</v>
      </c>
      <c r="H32" s="2">
        <v>16573</v>
      </c>
      <c r="I32" s="2">
        <f>C32+D32+E32+F32+G32+H32</f>
        <v>69225</v>
      </c>
      <c r="J32" s="13" t="s">
        <v>27</v>
      </c>
      <c r="K32" s="3">
        <v>1</v>
      </c>
      <c r="L32" s="3"/>
      <c r="M32" s="9">
        <f>IF(K32=1,0.025,0.05)</f>
        <v>0.025</v>
      </c>
      <c r="N32" s="1"/>
      <c r="O32" s="15">
        <f>8776.59</f>
        <v>8776.59</v>
      </c>
      <c r="P32" s="15">
        <f>(O32)*M32</f>
        <v>219.41475000000003</v>
      </c>
      <c r="Q32" s="15"/>
      <c r="R32" s="15"/>
      <c r="S32" s="15"/>
      <c r="T32" s="16">
        <v>6317.88</v>
      </c>
      <c r="U32" s="18">
        <f>SUM(O32:T32)</f>
        <v>15313.884750000001</v>
      </c>
      <c r="V32" s="81">
        <v>104.5</v>
      </c>
      <c r="W32" s="14">
        <f>ROUND(X34*V32,2)</f>
        <v>15584.16</v>
      </c>
      <c r="X32" s="30">
        <f>W32-U32</f>
        <v>270.2752499999988</v>
      </c>
      <c r="Y32" s="138">
        <f>X32*Q37/100</f>
        <v>140.38366760249937</v>
      </c>
      <c r="Z32" s="16">
        <f>ROUND(Y32/12,2)</f>
        <v>11.7</v>
      </c>
      <c r="AA32" s="18">
        <f>+' 2004 FP OC'!AA32</f>
        <v>153.8</v>
      </c>
      <c r="AB32" s="16">
        <f>ROUND(AA32*0.3838,2)</f>
        <v>59.03</v>
      </c>
      <c r="AC32" s="56">
        <f>AA32+AB32</f>
        <v>212.83</v>
      </c>
      <c r="AD32" s="58">
        <f>ROUND(AC32*I32,2)</f>
        <v>14733156.75</v>
      </c>
      <c r="AE32" s="138">
        <f t="shared" si="0"/>
        <v>11.7</v>
      </c>
    </row>
    <row r="33" spans="2:31" ht="26.25" customHeight="1">
      <c r="B33" s="93"/>
      <c r="I33" s="12"/>
      <c r="V33" s="86"/>
      <c r="W33" s="22"/>
      <c r="X33" s="19"/>
      <c r="Y33" s="139"/>
      <c r="Z33" s="22"/>
      <c r="AA33" s="22"/>
      <c r="AB33" s="22"/>
      <c r="AC33" s="20"/>
      <c r="AD33" s="61"/>
      <c r="AE33" s="139"/>
    </row>
    <row r="34" spans="2:31" ht="26.25" customHeight="1">
      <c r="B34" s="93"/>
      <c r="I34" s="12"/>
      <c r="O34" s="158"/>
      <c r="P34" s="158"/>
      <c r="Q34" s="159"/>
      <c r="R34" s="65"/>
      <c r="S34" s="23" t="e">
        <f>#REF!</f>
        <v>#REF!</v>
      </c>
      <c r="V34" s="22"/>
      <c r="W34" s="12" t="s">
        <v>57</v>
      </c>
      <c r="X34" s="84">
        <v>149.1307</v>
      </c>
      <c r="Y34" s="140"/>
      <c r="Z34" s="19"/>
      <c r="AA34" s="22"/>
      <c r="AB34" s="22"/>
      <c r="AC34" s="22"/>
      <c r="AD34" s="20"/>
      <c r="AE34" s="140"/>
    </row>
    <row r="35" spans="2:31" ht="18.75" customHeight="1">
      <c r="B35" s="93"/>
      <c r="Y35" s="92"/>
      <c r="Z35" s="8"/>
      <c r="AE35" s="92"/>
    </row>
    <row r="36" spans="2:31" ht="18.75" customHeight="1">
      <c r="B36" s="93"/>
      <c r="C36" s="23"/>
      <c r="O36" s="152" t="s">
        <v>41</v>
      </c>
      <c r="P36" s="153"/>
      <c r="Q36" t="s">
        <v>47</v>
      </c>
      <c r="R36" s="23">
        <v>288000000</v>
      </c>
      <c r="S36" t="s">
        <v>48</v>
      </c>
      <c r="U36" s="23">
        <v>638000000</v>
      </c>
      <c r="Z36" s="8"/>
      <c r="AE36" s="92"/>
    </row>
    <row r="37" spans="2:31" ht="27" customHeight="1">
      <c r="B37" s="93"/>
      <c r="C37" s="23"/>
      <c r="O37" s="67" t="s">
        <v>49</v>
      </c>
      <c r="Q37" s="68">
        <v>51.941</v>
      </c>
      <c r="R37" s="67" t="s">
        <v>42</v>
      </c>
      <c r="S37" s="69" t="s">
        <v>43</v>
      </c>
      <c r="Z37" s="8"/>
      <c r="AE37" s="92"/>
    </row>
    <row r="38" ht="18.75" customHeight="1">
      <c r="B38" s="93"/>
    </row>
    <row r="39" ht="18.75" customHeight="1">
      <c r="B39" s="93"/>
    </row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</sheetData>
  <mergeCells count="45">
    <mergeCell ref="AE1:AE2"/>
    <mergeCell ref="Q1:Q2"/>
    <mergeCell ref="R1:R2"/>
    <mergeCell ref="S1:S2"/>
    <mergeCell ref="U1:U2"/>
    <mergeCell ref="T1:T2"/>
    <mergeCell ref="AD1:AD2"/>
    <mergeCell ref="AA1:AA2"/>
    <mergeCell ref="AB1:AB2"/>
    <mergeCell ref="AC1:AC2"/>
    <mergeCell ref="V1:V2"/>
    <mergeCell ref="W1:W2"/>
    <mergeCell ref="X1:X2"/>
    <mergeCell ref="Z1:Z2"/>
    <mergeCell ref="Y1:Y2"/>
    <mergeCell ref="M1:M2"/>
    <mergeCell ref="N1:N2"/>
    <mergeCell ref="O1:O2"/>
    <mergeCell ref="P1:P2"/>
    <mergeCell ref="C1:I1"/>
    <mergeCell ref="J1:J2"/>
    <mergeCell ref="K1:K2"/>
    <mergeCell ref="L1:L2"/>
    <mergeCell ref="J17:J18"/>
    <mergeCell ref="V17:V18"/>
    <mergeCell ref="V20:V22"/>
    <mergeCell ref="J9:J13"/>
    <mergeCell ref="V10:V12"/>
    <mergeCell ref="J15:J16"/>
    <mergeCell ref="V15:V16"/>
    <mergeCell ref="B25:B26"/>
    <mergeCell ref="B29:B30"/>
    <mergeCell ref="V25:V26"/>
    <mergeCell ref="J20:J22"/>
    <mergeCell ref="O36:P36"/>
    <mergeCell ref="V29:V30"/>
    <mergeCell ref="J24:J26"/>
    <mergeCell ref="J29:J30"/>
    <mergeCell ref="O34:Q34"/>
    <mergeCell ref="B17:B18"/>
    <mergeCell ref="B20:B22"/>
    <mergeCell ref="A1:A2"/>
    <mergeCell ref="B10:B12"/>
    <mergeCell ref="B15:B16"/>
    <mergeCell ref="B1:B2"/>
  </mergeCells>
  <printOptions horizontalCentered="1" verticalCentered="1"/>
  <pageMargins left="0.6299212598425197" right="0.5118110236220472" top="2.05" bottom="0.5118110236220472" header="0.3937007874015748" footer="0.5118110236220472"/>
  <pageSetup fitToHeight="1" fitToWidth="1" horizontalDpi="600" verticalDpi="600" orientation="portrait" paperSize="8" scale="63" r:id="rId1"/>
  <headerFooter alignWithMargins="0">
    <oddHeader>&amp;L&amp;9
&amp;C&amp;28&amp;UTABELLA B3
ANTICIPAZIONI ANNO 2004
PERSONALE DELLE FORZE ARMATE
&amp;18(Art. 5 comma 2)&amp;R
</oddHeader>
    <oddFooter>&amp;L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Giuseppina Trisolini</dc:creator>
  <cp:keywords/>
  <dc:description/>
  <cp:lastModifiedBy>consip</cp:lastModifiedBy>
  <cp:lastPrinted>2003-04-17T14:15:14Z</cp:lastPrinted>
  <dcterms:created xsi:type="dcterms:W3CDTF">2001-06-06T14:56:23Z</dcterms:created>
  <dcterms:modified xsi:type="dcterms:W3CDTF">2003-04-17T14:16:16Z</dcterms:modified>
  <cp:category/>
  <cp:version/>
  <cp:contentType/>
  <cp:contentStatus/>
</cp:coreProperties>
</file>